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01_Cover_Instructions" sheetId="1" state="visible" r:id="rId1"/>
    <sheet name="02_Facility_Profile" sheetId="2" state="visible" r:id="rId2"/>
    <sheet name="03_Financial_Inputs" sheetId="3" state="visible" r:id="rId3"/>
    <sheet name="04_Operational_Inputs" sheetId="4" state="visible" r:id="rId4"/>
    <sheet name="05_Staffing_Quality" sheetId="5" state="visible" r:id="rId5"/>
    <sheet name="06_Documentation_Risk" sheetId="6" state="visible" r:id="rId6"/>
    <sheet name="07_Risk_Scores" sheetId="7" state="visible" r:id="rId7"/>
    <sheet name="08_Stress_Scenarios" sheetId="8" state="visible" r:id="rId8"/>
    <sheet name="09_Dashboard" sheetId="9" state="visible" r:id="rId9"/>
    <sheet name="10_Benchmarks" sheetId="10" state="visible" r:id="rId10"/>
    <sheet name="11_Portfolio_Summary" sheetId="11" state="visible" r:id="rId11"/>
    <sheet name="12_CaseMix_PDPM" sheetId="12" state="visible" r:id="rId12"/>
    <sheet name="13_Monte_Carlo" sheetId="13" state="visible" r:id="rId13"/>
    <sheet name="14_Survey_Audit_Prob" sheetId="14" state="visible" r:id="rId14"/>
    <sheet name="15_Valuation" sheetId="15" state="visible" r:id="rId15"/>
  </sheets>
  <definedNames/>
  <calcPr calcId="124519" fullCalcOnLoad="1" refMode="A1" iterate="0" iterateCount="100" iterateDelta="0.0001"/>
</workbook>
</file>

<file path=xl/styles.xml><?xml version="1.0" encoding="utf-8"?>
<styleSheet xmlns="http://schemas.openxmlformats.org/spreadsheetml/2006/main">
  <numFmts count="5">
    <numFmt numFmtId="164" formatCode="\$#,##0"/>
    <numFmt numFmtId="165" formatCode="0.0%"/>
    <numFmt numFmtId="166" formatCode="0.0"/>
    <numFmt numFmtId="167" formatCode="0.000"/>
    <numFmt numFmtId="168" formatCode="0.00\x"/>
  </numFmts>
  <fonts count="28">
    <font>
      <name val="Calibri"/>
      <charset val="1"/>
      <family val="2"/>
      <color theme="1"/>
      <sz val="11"/>
    </font>
    <font>
      <name val="Arial"/>
      <family val="0"/>
      <sz val="10"/>
    </font>
    <font>
      <name val="Arial"/>
      <family val="0"/>
      <sz val="10"/>
    </font>
    <font>
      <name val="Arial"/>
      <family val="0"/>
      <sz val="10"/>
    </font>
    <font>
      <name val="Arial"/>
      <charset val="1"/>
      <family val="0"/>
      <b val="1"/>
      <color rgb="FFFFFFFF"/>
      <sz val="18"/>
    </font>
    <font>
      <name val="Arial"/>
      <charset val="1"/>
      <family val="0"/>
      <i val="1"/>
      <color rgb="FF1F4E79"/>
      <sz val="10"/>
    </font>
    <font>
      <name val="Arial"/>
      <charset val="1"/>
      <family val="0"/>
      <b val="1"/>
      <color rgb="FF1F4E79"/>
      <sz val="12"/>
    </font>
    <font>
      <name val="Arial"/>
      <charset val="1"/>
      <family val="0"/>
      <color rgb="FF0000FF"/>
      <sz val="11"/>
    </font>
    <font>
      <name val="Arial"/>
      <charset val="1"/>
      <family val="0"/>
      <color rgb="FF008000"/>
      <sz val="11"/>
    </font>
    <font>
      <name val="Arial"/>
      <charset val="1"/>
      <family val="0"/>
      <b val="1"/>
      <color rgb="FF1F4E79"/>
      <sz val="16"/>
    </font>
    <font>
      <name val="Arial"/>
      <charset val="1"/>
      <family val="0"/>
      <b val="1"/>
      <color rgb="FFFFFFFF"/>
      <sz val="12"/>
    </font>
    <font>
      <name val="Arial"/>
      <charset val="1"/>
      <family val="0"/>
      <i val="1"/>
      <sz val="10"/>
    </font>
    <font>
      <name val="Arial"/>
      <charset val="1"/>
      <family val="0"/>
      <color rgb="FF000000"/>
      <sz val="11"/>
    </font>
    <font>
      <name val="Arial"/>
      <charset val="1"/>
      <family val="0"/>
      <b val="1"/>
      <color rgb="FFFFFFFF"/>
      <sz val="11"/>
    </font>
    <font>
      <name val="Arial"/>
      <charset val="1"/>
      <family val="0"/>
      <i val="1"/>
      <color rgb="FF555555"/>
      <sz val="9"/>
    </font>
    <font>
      <name val="Arial"/>
      <charset val="1"/>
      <family val="0"/>
      <b val="1"/>
      <sz val="14"/>
    </font>
    <font>
      <name val="Arial"/>
      <charset val="1"/>
      <family val="0"/>
      <b val="1"/>
      <sz val="12"/>
    </font>
    <font>
      <name val="Arial"/>
      <charset val="1"/>
      <family val="0"/>
      <b val="1"/>
      <sz val="16"/>
    </font>
    <font>
      <name val="Arial"/>
      <charset val="1"/>
      <family val="0"/>
      <b val="1"/>
      <color rgb="FF1F4E79"/>
      <sz val="9"/>
    </font>
    <font>
      <name val="Arial"/>
      <charset val="1"/>
      <family val="0"/>
      <i val="1"/>
      <color rgb="FF666666"/>
      <sz val="8"/>
    </font>
    <font>
      <name val="Arial"/>
      <charset val="1"/>
      <family val="0"/>
      <b val="1"/>
      <color rgb="FFFFFFFF"/>
      <sz val="16"/>
    </font>
    <font>
      <name val="Arial"/>
      <charset val="1"/>
      <family val="0"/>
      <i val="1"/>
      <sz val="9"/>
    </font>
    <font>
      <name val="Arial"/>
      <charset val="1"/>
      <family val="0"/>
      <b val="1"/>
      <sz val="11"/>
    </font>
    <font>
      <name val="Arial"/>
      <charset val="1"/>
      <family val="0"/>
      <b val="1"/>
      <sz val="10"/>
    </font>
    <font>
      <name val="Consolas"/>
      <charset val="1"/>
      <family val="0"/>
      <color rgb="FF0000FF"/>
      <sz val="10"/>
    </font>
    <font>
      <name val="Consolas"/>
      <charset val="1"/>
      <family val="0"/>
      <color rgb="FF666666"/>
      <sz val="9"/>
    </font>
    <font>
      <name val="Consolas"/>
      <charset val="1"/>
      <family val="0"/>
      <sz val="10"/>
    </font>
    <font>
      <name val="Consolas"/>
      <charset val="1"/>
      <family val="0"/>
      <sz val="9"/>
    </font>
  </fonts>
  <fills count="8">
    <fill>
      <patternFill/>
    </fill>
    <fill>
      <patternFill patternType="gray125"/>
    </fill>
    <fill>
      <patternFill patternType="solid">
        <fgColor rgb="FF1F4E79"/>
        <bgColor rgb="FF003366"/>
      </patternFill>
    </fill>
    <fill>
      <patternFill patternType="solid">
        <fgColor rgb="FFFFF2CC"/>
        <bgColor rgb="FFFFEB9C"/>
      </patternFill>
    </fill>
    <fill>
      <patternFill patternType="solid">
        <fgColor rgb="FFD6EAF8"/>
        <bgColor rgb="FFC6EFCE"/>
      </patternFill>
    </fill>
    <fill>
      <patternFill patternType="solid">
        <fgColor rgb="FFFFC7CE"/>
        <bgColor rgb="FFFFEB9C"/>
      </patternFill>
    </fill>
    <fill>
      <patternFill patternType="solid">
        <fgColor rgb="FFFFEB9C"/>
        <bgColor rgb="FFFFF2CC"/>
      </patternFill>
    </fill>
    <fill>
      <patternFill patternType="solid">
        <fgColor rgb="FFC6EFCE"/>
        <bgColor rgb="FFD6EAF8"/>
      </patternFill>
    </fill>
  </fills>
  <borders count="9">
    <border>
      <left/>
      <right/>
      <top/>
      <bottom/>
      <diagonal/>
    </border>
    <border>
      <left style="thin">
        <color rgb="FFB0B0B0"/>
      </left>
      <right style="thin">
        <color rgb="FFB0B0B0"/>
      </right>
      <top style="thin">
        <color rgb="FFB0B0B0"/>
      </top>
      <bottom style="thin">
        <color rgb="FFB0B0B0"/>
      </bottom>
      <diagonal/>
    </border>
    <border>
      <left/>
      <right/>
      <top style="thin">
        <color rgb="FFB0B0B0"/>
      </top>
      <bottom/>
      <diagonal/>
    </border>
    <border>
      <left style="thin">
        <color rgb="FFB0B0B0"/>
      </left>
      <right/>
      <top/>
      <bottom/>
      <diagonal/>
    </border>
    <border>
      <left/>
      <right style="thin">
        <color rgb="FFB0B0B0"/>
      </right>
      <top style="thin">
        <color rgb="FFB0B0B0"/>
      </top>
      <bottom/>
      <diagonal/>
    </border>
    <border>
      <left/>
      <right style="thin">
        <color rgb="FFB0B0B0"/>
      </right>
      <top/>
      <bottom/>
      <diagonal/>
    </border>
    <border>
      <left style="thin">
        <color rgb="FFB0B0B0"/>
      </left>
      <right/>
      <top/>
      <bottom style="thin">
        <color rgb="FFB0B0B0"/>
      </bottom>
      <diagonal/>
    </border>
    <border>
      <left/>
      <right/>
      <top/>
      <bottom style="thin">
        <color rgb="FFB0B0B0"/>
      </bottom>
      <diagonal/>
    </border>
    <border>
      <left/>
      <right style="thin">
        <color rgb="FFB0B0B0"/>
      </right>
      <top/>
      <bottom style="thin">
        <color rgb="FFB0B0B0"/>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69">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4" fillId="2"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0" fillId="0" borderId="0" applyAlignment="1" pivotButton="0" quotePrefix="0" xfId="0">
      <alignment horizontal="left" vertical="center" wrapText="1"/>
    </xf>
    <xf numFmtId="0" fontId="0" fillId="0" borderId="0" applyAlignment="1" pivotButton="0" quotePrefix="0" xfId="0">
      <alignment horizontal="general" vertical="bottom"/>
    </xf>
    <xf numFmtId="0" fontId="0" fillId="3" borderId="0" applyAlignment="1" pivotButton="0" quotePrefix="0" xfId="0">
      <alignment horizontal="general" vertical="bottom"/>
    </xf>
    <xf numFmtId="0" fontId="7" fillId="0" borderId="0" applyAlignment="1" pivotButton="0" quotePrefix="0" xfId="0">
      <alignment horizontal="general" vertical="bottom"/>
    </xf>
    <xf numFmtId="0" fontId="8" fillId="0" borderId="0" applyAlignment="1" pivotButton="0" quotePrefix="0" xfId="0">
      <alignment horizontal="general" vertical="bottom"/>
    </xf>
    <xf numFmtId="0" fontId="6" fillId="4" borderId="0" applyAlignment="1" pivotButton="0" quotePrefix="0" xfId="0">
      <alignment horizontal="general" vertical="bottom"/>
    </xf>
    <xf numFmtId="0" fontId="9" fillId="0" borderId="0" applyAlignment="1" pivotButton="0" quotePrefix="0" xfId="0">
      <alignment horizontal="general" vertical="bottom"/>
    </xf>
    <xf numFmtId="0" fontId="6" fillId="4" borderId="0" applyAlignment="1" pivotButton="0" quotePrefix="0" xfId="0">
      <alignment horizontal="general" vertical="bottom"/>
    </xf>
    <xf numFmtId="0" fontId="10" fillId="2" borderId="1" applyAlignment="1" pivotButton="0" quotePrefix="0" xfId="0">
      <alignment horizontal="center" vertical="center" wrapText="1"/>
    </xf>
    <xf numFmtId="0" fontId="7" fillId="3" borderId="1" applyAlignment="1" pivotButton="0" quotePrefix="0" xfId="0">
      <alignment horizontal="center" vertical="center" wrapText="1"/>
    </xf>
    <xf numFmtId="0" fontId="0" fillId="0" borderId="1" applyAlignment="1" pivotButton="0" quotePrefix="0" xfId="0">
      <alignment horizontal="general" vertical="bottom"/>
    </xf>
    <xf numFmtId="0" fontId="7" fillId="3" borderId="1" applyAlignment="1" pivotButton="0" quotePrefix="0" xfId="0">
      <alignment horizontal="general" vertical="bottom"/>
    </xf>
    <xf numFmtId="0" fontId="11" fillId="0" borderId="0" applyAlignment="1" pivotButton="0" quotePrefix="0" xfId="0">
      <alignment horizontal="general" vertical="bottom"/>
    </xf>
    <xf numFmtId="164" fontId="7" fillId="3" borderId="1" applyAlignment="1" pivotButton="0" quotePrefix="0" xfId="0">
      <alignment horizontal="general" vertical="bottom"/>
    </xf>
    <xf numFmtId="165" fontId="12" fillId="0" borderId="1" applyAlignment="1" pivotButton="0" quotePrefix="0" xfId="0">
      <alignment horizontal="general" vertical="bottom"/>
    </xf>
    <xf numFmtId="2" fontId="12" fillId="0" borderId="1" applyAlignment="1" pivotButton="0" quotePrefix="0" xfId="0">
      <alignment horizontal="general" vertical="bottom"/>
    </xf>
    <xf numFmtId="166" fontId="12" fillId="0" borderId="1" applyAlignment="1" pivotButton="0" quotePrefix="0" xfId="0">
      <alignment horizontal="general" vertical="bottom"/>
    </xf>
    <xf numFmtId="165" fontId="12" fillId="0" borderId="0" applyAlignment="1" pivotButton="0" quotePrefix="0" xfId="0">
      <alignment horizontal="general" vertical="bottom"/>
    </xf>
    <xf numFmtId="165" fontId="7" fillId="3" borderId="1" applyAlignment="1" pivotButton="0" quotePrefix="0" xfId="0">
      <alignment horizontal="general" vertical="bottom"/>
    </xf>
    <xf numFmtId="165" fontId="12" fillId="3" borderId="1"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center" vertical="center" wrapText="1"/>
    </xf>
    <xf numFmtId="164" fontId="8" fillId="0" borderId="1" applyAlignment="1" pivotButton="0" quotePrefix="0" xfId="0">
      <alignment horizontal="general" vertical="bottom"/>
    </xf>
    <xf numFmtId="164" fontId="12" fillId="0" borderId="1" applyAlignment="1" pivotButton="0" quotePrefix="0" xfId="0">
      <alignment horizontal="general" vertical="bottom"/>
    </xf>
    <xf numFmtId="10" fontId="12" fillId="0" borderId="1" applyAlignment="1" pivotButton="0" quotePrefix="0" xfId="0">
      <alignment horizontal="general" vertical="bottom"/>
    </xf>
    <xf numFmtId="0" fontId="14" fillId="0" borderId="0" applyAlignment="1" pivotButton="0" quotePrefix="0" xfId="0">
      <alignment horizontal="general" vertical="bottom"/>
    </xf>
    <xf numFmtId="1" fontId="7" fillId="3" borderId="1" applyAlignment="1" pivotButton="0" quotePrefix="0" xfId="0">
      <alignment horizontal="general" vertical="bottom"/>
    </xf>
    <xf numFmtId="9" fontId="0" fillId="0" borderId="1" applyAlignment="1" pivotButton="0" quotePrefix="0" xfId="0">
      <alignment horizontal="general" vertical="bottom"/>
    </xf>
    <xf numFmtId="0" fontId="12" fillId="0" borderId="1" applyAlignment="1" pivotButton="0" quotePrefix="0" xfId="0">
      <alignment horizontal="general" vertical="bottom"/>
    </xf>
    <xf numFmtId="166" fontId="15" fillId="0" borderId="0" applyAlignment="1" pivotButton="0" quotePrefix="0" xfId="0">
      <alignment horizontal="general" vertical="bottom"/>
    </xf>
    <xf numFmtId="0" fontId="16" fillId="0" borderId="0" applyAlignment="1" pivotButton="0" quotePrefix="0" xfId="0">
      <alignment horizontal="general" vertical="bottom"/>
    </xf>
    <xf numFmtId="1" fontId="8" fillId="0" borderId="0" applyAlignment="1" pivotButton="0" quotePrefix="0" xfId="0">
      <alignment horizontal="general" vertical="bottom"/>
    </xf>
    <xf numFmtId="164" fontId="8" fillId="0" borderId="0" applyAlignment="1" pivotButton="0" quotePrefix="0" xfId="0">
      <alignment horizontal="general" vertical="bottom"/>
    </xf>
    <xf numFmtId="2" fontId="12" fillId="0" borderId="0" applyAlignment="1" pivotButton="0" quotePrefix="0" xfId="0">
      <alignment horizontal="general" vertical="bottom"/>
    </xf>
    <xf numFmtId="0" fontId="6" fillId="0" borderId="1" applyAlignment="1" pivotButton="0" quotePrefix="0" xfId="0">
      <alignment horizontal="general" vertical="bottom"/>
    </xf>
    <xf numFmtId="166" fontId="17" fillId="0" borderId="0" applyAlignment="1" pivotButton="0" quotePrefix="0" xfId="0">
      <alignment horizontal="general" vertical="bottom"/>
    </xf>
    <xf numFmtId="2" fontId="8" fillId="0" borderId="1" applyAlignment="1" pivotButton="0" quotePrefix="0" xfId="0">
      <alignment horizontal="general" vertical="bottom"/>
    </xf>
    <xf numFmtId="2" fontId="0" fillId="0" borderId="1" applyAlignment="1" pivotButton="0" quotePrefix="0" xfId="0">
      <alignment horizontal="general" vertical="bottom"/>
    </xf>
    <xf numFmtId="165" fontId="8" fillId="0" borderId="1" applyAlignment="1" pivotButton="0" quotePrefix="0" xfId="0">
      <alignment horizontal="general" vertical="bottom"/>
    </xf>
    <xf numFmtId="0" fontId="8" fillId="0" borderId="1" applyAlignment="1" pivotButton="0" quotePrefix="0" xfId="0">
      <alignment horizontal="general" vertical="bottom"/>
    </xf>
    <xf numFmtId="1" fontId="8" fillId="0" borderId="1" applyAlignment="1" pivotButton="0" quotePrefix="0" xfId="0">
      <alignment horizontal="general" vertical="bottom"/>
    </xf>
    <xf numFmtId="0" fontId="18" fillId="0" borderId="0" applyAlignment="1" pivotButton="0" quotePrefix="0" xfId="0">
      <alignment horizontal="general" vertical="bottom"/>
    </xf>
    <xf numFmtId="0" fontId="19" fillId="0" borderId="0" applyAlignment="1" pivotButton="0" quotePrefix="0" xfId="0">
      <alignment horizontal="general" vertical="bottom"/>
    </xf>
    <xf numFmtId="0" fontId="0" fillId="5" borderId="1" applyAlignment="1" pivotButton="0" quotePrefix="0" xfId="0">
      <alignment horizontal="general" vertical="bottom"/>
    </xf>
    <xf numFmtId="0" fontId="0" fillId="6" borderId="1" applyAlignment="1" pivotButton="0" quotePrefix="0" xfId="0">
      <alignment horizontal="general" vertical="bottom"/>
    </xf>
    <xf numFmtId="0" fontId="0" fillId="7" borderId="1" applyAlignment="1" pivotButton="0" quotePrefix="0" xfId="0">
      <alignment horizontal="general" vertical="bottom"/>
    </xf>
    <xf numFmtId="165" fontId="0" fillId="0" borderId="1" applyAlignment="1" pivotButton="0" quotePrefix="0" xfId="0">
      <alignment horizontal="general" vertical="bottom"/>
    </xf>
    <xf numFmtId="166" fontId="0" fillId="0" borderId="1" applyAlignment="1" pivotButton="0" quotePrefix="0" xfId="0">
      <alignment horizontal="general" vertical="bottom"/>
    </xf>
    <xf numFmtId="164" fontId="0" fillId="0" borderId="1" applyAlignment="1" pivotButton="0" quotePrefix="0" xfId="0">
      <alignment horizontal="general" vertical="bottom"/>
    </xf>
    <xf numFmtId="0" fontId="20" fillId="2" borderId="0" applyAlignment="1" pivotButton="0" quotePrefix="0" xfId="0">
      <alignment horizontal="general" vertical="bottom"/>
    </xf>
    <xf numFmtId="0" fontId="21" fillId="0" borderId="0" applyAlignment="1" pivotButton="0" quotePrefix="0" xfId="0">
      <alignment horizontal="general" vertical="bottom"/>
    </xf>
    <xf numFmtId="2" fontId="7" fillId="3" borderId="1" applyAlignment="1" pivotButton="0" quotePrefix="0" xfId="0">
      <alignment horizontal="general" vertical="bottom"/>
    </xf>
    <xf numFmtId="164" fontId="22" fillId="0" borderId="1" applyAlignment="1" pivotButton="0" quotePrefix="0" xfId="0">
      <alignment horizontal="general" vertical="bottom"/>
    </xf>
    <xf numFmtId="0" fontId="23" fillId="0" borderId="0" applyAlignment="1" pivotButton="0" quotePrefix="0" xfId="0">
      <alignment horizontal="general" vertical="bottom"/>
    </xf>
    <xf numFmtId="0" fontId="24" fillId="0" borderId="0" applyAlignment="1" pivotButton="0" quotePrefix="0" xfId="0">
      <alignment horizontal="general" vertical="bottom"/>
    </xf>
    <xf numFmtId="167" fontId="12" fillId="0" borderId="1" applyAlignment="1" pivotButton="0" quotePrefix="0" xfId="0">
      <alignment horizontal="general" vertical="bottom"/>
    </xf>
    <xf numFmtId="0" fontId="25" fillId="0" borderId="1" applyAlignment="1" pivotButton="0" quotePrefix="0" xfId="0">
      <alignment horizontal="general" vertical="bottom"/>
    </xf>
    <xf numFmtId="0" fontId="26" fillId="0" borderId="0" applyAlignment="1" pivotButton="0" quotePrefix="0" xfId="0">
      <alignment horizontal="general" vertical="bottom"/>
    </xf>
    <xf numFmtId="0" fontId="14" fillId="0" borderId="0" applyAlignment="1" pivotButton="0" quotePrefix="0" xfId="0">
      <alignment horizontal="general" vertical="bottom"/>
    </xf>
    <xf numFmtId="165" fontId="16" fillId="6" borderId="1" applyAlignment="1" pivotButton="0" quotePrefix="0" xfId="0">
      <alignment horizontal="general" vertical="bottom"/>
    </xf>
    <xf numFmtId="165" fontId="0" fillId="5" borderId="1" applyAlignment="1" pivotButton="0" quotePrefix="0" xfId="0">
      <alignment horizontal="general" vertical="bottom"/>
    </xf>
    <xf numFmtId="9" fontId="7" fillId="3" borderId="1" applyAlignment="1" pivotButton="0" quotePrefix="0" xfId="0">
      <alignment horizontal="general" vertical="bottom"/>
    </xf>
    <xf numFmtId="1" fontId="12" fillId="0" borderId="1" applyAlignment="1" pivotButton="0" quotePrefix="0" xfId="0">
      <alignment horizontal="general" vertical="bottom"/>
    </xf>
    <xf numFmtId="1" fontId="16" fillId="0" borderId="1" applyAlignment="1" pivotButton="0" quotePrefix="0" xfId="0">
      <alignment horizontal="general" vertical="bottom"/>
    </xf>
    <xf numFmtId="9" fontId="12" fillId="0" borderId="1" applyAlignment="1" pivotButton="0" quotePrefix="0" xfId="0">
      <alignment horizontal="general" vertical="bottom"/>
    </xf>
    <xf numFmtId="165" fontId="16" fillId="0" borderId="1" applyAlignment="1" pivotButton="0" quotePrefix="0" xfId="0">
      <alignment horizontal="general" vertical="bottom"/>
    </xf>
    <xf numFmtId="0" fontId="27" fillId="0" borderId="0" applyAlignment="1" pivotButton="0" quotePrefix="0" xfId="0">
      <alignment horizontal="general" vertical="bottom"/>
    </xf>
    <xf numFmtId="0" fontId="20" fillId="2" borderId="0" applyAlignment="1" pivotButton="0" quotePrefix="0" xfId="0">
      <alignment horizontal="general" vertical="bottom"/>
    </xf>
    <xf numFmtId="0" fontId="21" fillId="0" borderId="0" applyAlignment="1" pivotButton="0" quotePrefix="0" xfId="0">
      <alignment horizontal="general" vertical="bottom"/>
    </xf>
    <xf numFmtId="0" fontId="6" fillId="4" borderId="0" applyAlignment="1" pivotButton="0" quotePrefix="0" xfId="0">
      <alignment horizontal="general" vertical="bottom"/>
    </xf>
    <xf numFmtId="0" fontId="0" fillId="0" borderId="1" applyAlignment="1" pivotButton="0" quotePrefix="0" xfId="0">
      <alignment horizontal="general" vertical="bottom"/>
    </xf>
    <xf numFmtId="164" fontId="8" fillId="0" borderId="1" applyAlignment="1" pivotButton="0" quotePrefix="0" xfId="0">
      <alignment horizontal="general" vertical="bottom"/>
    </xf>
    <xf numFmtId="165" fontId="8" fillId="0" borderId="1" applyAlignment="1" pivotButton="0" quotePrefix="0" xfId="0">
      <alignment horizontal="general" vertical="bottom"/>
    </xf>
    <xf numFmtId="166" fontId="8" fillId="0" borderId="1" applyAlignment="1" pivotButton="0" quotePrefix="0" xfId="0">
      <alignment horizontal="general" vertical="bottom"/>
    </xf>
    <xf numFmtId="166" fontId="7" fillId="3" borderId="1" applyAlignment="1" pivotButton="0" quotePrefix="0" xfId="0">
      <alignment horizontal="general" vertical="bottom"/>
    </xf>
    <xf numFmtId="165" fontId="12" fillId="0" borderId="1" applyAlignment="1" pivotButton="0" quotePrefix="0" xfId="0">
      <alignment horizontal="general" vertical="bottom"/>
    </xf>
    <xf numFmtId="2" fontId="12" fillId="0" borderId="1" applyAlignment="1" pivotButton="0" quotePrefix="0" xfId="0">
      <alignment horizontal="general" vertical="bottom"/>
    </xf>
    <xf numFmtId="164" fontId="12" fillId="0" borderId="1" applyAlignment="1" pivotButton="0" quotePrefix="0" xfId="0">
      <alignment horizontal="general" vertical="bottom"/>
    </xf>
    <xf numFmtId="164" fontId="16" fillId="7" borderId="1" applyAlignment="1" pivotButton="0" quotePrefix="0" xfId="0">
      <alignment horizontal="general" vertical="bottom"/>
    </xf>
    <xf numFmtId="164" fontId="22" fillId="0" borderId="1" applyAlignment="1" pivotButton="0" quotePrefix="0" xfId="0">
      <alignment horizontal="general" vertical="bottom"/>
    </xf>
    <xf numFmtId="168" fontId="12" fillId="0" borderId="1" applyAlignment="1" pivotButton="0" quotePrefix="0" xfId="0">
      <alignment horizontal="general" vertical="bottom"/>
    </xf>
    <xf numFmtId="165" fontId="7" fillId="3" borderId="1" applyAlignment="1" pivotButton="0" quotePrefix="0" xfId="0">
      <alignment horizontal="general" vertical="bottom"/>
    </xf>
    <xf numFmtId="164" fontId="22" fillId="7" borderId="1" applyAlignment="1" pivotButton="0" quotePrefix="0" xfId="0">
      <alignment horizontal="general" vertical="bottom"/>
    </xf>
    <xf numFmtId="0" fontId="0" fillId="0" borderId="0" applyAlignment="1" pivotButton="0" quotePrefix="0" xfId="0">
      <alignment horizontal="general" vertical="bottom"/>
    </xf>
    <xf numFmtId="0" fontId="0" fillId="0" borderId="0" pivotButton="0" quotePrefix="0" xfId="0"/>
    <xf numFmtId="0" fontId="4" fillId="2"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0" fillId="0" borderId="0" applyAlignment="1" pivotButton="0" quotePrefix="0" xfId="0">
      <alignment horizontal="left" vertical="center" wrapText="1"/>
    </xf>
    <xf numFmtId="0" fontId="0" fillId="3" borderId="0" applyAlignment="1" pivotButton="0" quotePrefix="0" xfId="0">
      <alignment horizontal="general" vertical="bottom"/>
    </xf>
    <xf numFmtId="0" fontId="7" fillId="0" borderId="0" applyAlignment="1" pivotButton="0" quotePrefix="0" xfId="0">
      <alignment horizontal="general" vertical="bottom"/>
    </xf>
    <xf numFmtId="0" fontId="8" fillId="0" borderId="0" applyAlignment="1" pivotButton="0" quotePrefix="0" xfId="0">
      <alignment horizontal="general" vertical="bottom"/>
    </xf>
    <xf numFmtId="0" fontId="6" fillId="4" borderId="0" applyAlignment="1" pivotButton="0" quotePrefix="0" xfId="0">
      <alignment horizontal="general" vertical="bottom"/>
    </xf>
    <xf numFmtId="0" fontId="9" fillId="0" borderId="0" applyAlignment="1" pivotButton="0" quotePrefix="0" xfId="0">
      <alignment horizontal="general" vertical="bottom"/>
    </xf>
    <xf numFmtId="0" fontId="10" fillId="2" borderId="1" applyAlignment="1" pivotButton="0" quotePrefix="0" xfId="0">
      <alignment horizontal="center" vertical="center" wrapText="1"/>
    </xf>
    <xf numFmtId="0" fontId="7" fillId="3" borderId="1" applyAlignment="1" pivotButton="0" quotePrefix="0" xfId="0">
      <alignment horizontal="center" vertical="center" wrapText="1"/>
    </xf>
    <xf numFmtId="0" fontId="0" fillId="0" borderId="1" applyAlignment="1" pivotButton="0" quotePrefix="0" xfId="0">
      <alignment horizontal="general" vertical="bottom"/>
    </xf>
    <xf numFmtId="0" fontId="7" fillId="3" borderId="1" applyAlignment="1" pivotButton="0" quotePrefix="0" xfId="0">
      <alignment horizontal="general" vertical="bottom"/>
    </xf>
    <xf numFmtId="0" fontId="11" fillId="0" borderId="0" applyAlignment="1" pivotButton="0" quotePrefix="0" xfId="0">
      <alignment horizontal="general" vertical="bottom"/>
    </xf>
    <xf numFmtId="164" fontId="7" fillId="3" borderId="1" applyAlignment="1" pivotButton="0" quotePrefix="0" xfId="0">
      <alignment horizontal="general" vertical="bottom"/>
    </xf>
    <xf numFmtId="165" fontId="12" fillId="0" borderId="1" applyAlignment="1" pivotButton="0" quotePrefix="0" xfId="0">
      <alignment horizontal="general" vertical="bottom"/>
    </xf>
    <xf numFmtId="2" fontId="12" fillId="0" borderId="1" applyAlignment="1" pivotButton="0" quotePrefix="0" xfId="0">
      <alignment horizontal="general" vertical="bottom"/>
    </xf>
    <xf numFmtId="166" fontId="12" fillId="0" borderId="1" applyAlignment="1" pivotButton="0" quotePrefix="0" xfId="0">
      <alignment horizontal="general" vertical="bottom"/>
    </xf>
    <xf numFmtId="0" fontId="0" fillId="0" borderId="2" pivotButton="0" quotePrefix="0" xfId="0"/>
    <xf numFmtId="0" fontId="0" fillId="0" borderId="4" pivotButton="0" quotePrefix="0" xfId="0"/>
    <xf numFmtId="0" fontId="0" fillId="0" borderId="3" pivotButton="0" quotePrefix="0" xfId="0"/>
    <xf numFmtId="0" fontId="0" fillId="0" borderId="5" pivotButton="0" quotePrefix="0" xfId="0"/>
    <xf numFmtId="0" fontId="0" fillId="0" borderId="6" pivotButton="0" quotePrefix="0" xfId="0"/>
    <xf numFmtId="0" fontId="0" fillId="0" borderId="7" pivotButton="0" quotePrefix="0" xfId="0"/>
    <xf numFmtId="0" fontId="0" fillId="0" borderId="8" pivotButton="0" quotePrefix="0" xfId="0"/>
    <xf numFmtId="165" fontId="12" fillId="0" borderId="0" applyAlignment="1" pivotButton="0" quotePrefix="0" xfId="0">
      <alignment horizontal="general" vertical="bottom"/>
    </xf>
    <xf numFmtId="165" fontId="7" fillId="3" borderId="1" applyAlignment="1" pivotButton="0" quotePrefix="0" xfId="0">
      <alignment horizontal="general" vertical="bottom"/>
    </xf>
    <xf numFmtId="165" fontId="12" fillId="3" borderId="1"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center" vertical="center" wrapText="1"/>
    </xf>
    <xf numFmtId="164" fontId="8" fillId="0" borderId="1" applyAlignment="1" pivotButton="0" quotePrefix="0" xfId="0">
      <alignment horizontal="general" vertical="bottom"/>
    </xf>
    <xf numFmtId="164" fontId="12" fillId="0" borderId="1" applyAlignment="1" pivotButton="0" quotePrefix="0" xfId="0">
      <alignment horizontal="general" vertical="bottom"/>
    </xf>
    <xf numFmtId="10" fontId="12" fillId="0" borderId="1" applyAlignment="1" pivotButton="0" quotePrefix="0" xfId="0">
      <alignment horizontal="general" vertical="bottom"/>
    </xf>
    <xf numFmtId="0" fontId="14" fillId="0" borderId="0" applyAlignment="1" pivotButton="0" quotePrefix="0" xfId="0">
      <alignment horizontal="general" vertical="bottom"/>
    </xf>
    <xf numFmtId="1" fontId="7" fillId="3" borderId="1" applyAlignment="1" pivotButton="0" quotePrefix="0" xfId="0">
      <alignment horizontal="general" vertical="bottom"/>
    </xf>
    <xf numFmtId="9" fontId="0" fillId="0" borderId="1" applyAlignment="1" pivotButton="0" quotePrefix="0" xfId="0">
      <alignment horizontal="general" vertical="bottom"/>
    </xf>
    <xf numFmtId="0" fontId="12" fillId="0" borderId="1" applyAlignment="1" pivotButton="0" quotePrefix="0" xfId="0">
      <alignment horizontal="general" vertical="bottom"/>
    </xf>
    <xf numFmtId="166" fontId="15" fillId="0" borderId="0" applyAlignment="1" pivotButton="0" quotePrefix="0" xfId="0">
      <alignment horizontal="general" vertical="bottom"/>
    </xf>
    <xf numFmtId="0" fontId="16" fillId="0" borderId="0" applyAlignment="1" pivotButton="0" quotePrefix="0" xfId="0">
      <alignment horizontal="general" vertical="bottom"/>
    </xf>
    <xf numFmtId="1" fontId="8" fillId="0" borderId="0" applyAlignment="1" pivotButton="0" quotePrefix="0" xfId="0">
      <alignment horizontal="general" vertical="bottom"/>
    </xf>
    <xf numFmtId="164" fontId="8" fillId="0" borderId="0" applyAlignment="1" pivotButton="0" quotePrefix="0" xfId="0">
      <alignment horizontal="general" vertical="bottom"/>
    </xf>
    <xf numFmtId="2" fontId="12" fillId="0" borderId="0" applyAlignment="1" pivotButton="0" quotePrefix="0" xfId="0">
      <alignment horizontal="general" vertical="bottom"/>
    </xf>
    <xf numFmtId="0" fontId="6" fillId="0" borderId="1" applyAlignment="1" pivotButton="0" quotePrefix="0" xfId="0">
      <alignment horizontal="general" vertical="bottom"/>
    </xf>
    <xf numFmtId="166" fontId="17" fillId="0" borderId="0" applyAlignment="1" pivotButton="0" quotePrefix="0" xfId="0">
      <alignment horizontal="general" vertical="bottom"/>
    </xf>
    <xf numFmtId="2" fontId="8" fillId="0" borderId="1" applyAlignment="1" pivotButton="0" quotePrefix="0" xfId="0">
      <alignment horizontal="general" vertical="bottom"/>
    </xf>
    <xf numFmtId="2" fontId="0" fillId="0" borderId="1" applyAlignment="1" pivotButton="0" quotePrefix="0" xfId="0">
      <alignment horizontal="general" vertical="bottom"/>
    </xf>
    <xf numFmtId="165" fontId="8" fillId="0" borderId="1" applyAlignment="1" pivotButton="0" quotePrefix="0" xfId="0">
      <alignment horizontal="general" vertical="bottom"/>
    </xf>
    <xf numFmtId="0" fontId="8" fillId="0" borderId="1" applyAlignment="1" pivotButton="0" quotePrefix="0" xfId="0">
      <alignment horizontal="general" vertical="bottom"/>
    </xf>
    <xf numFmtId="1" fontId="8" fillId="0" borderId="1" applyAlignment="1" pivotButton="0" quotePrefix="0" xfId="0">
      <alignment horizontal="general" vertical="bottom"/>
    </xf>
    <xf numFmtId="0" fontId="18" fillId="0" borderId="0" applyAlignment="1" pivotButton="0" quotePrefix="0" xfId="0">
      <alignment horizontal="general" vertical="bottom"/>
    </xf>
    <xf numFmtId="0" fontId="19" fillId="0" borderId="0" applyAlignment="1" pivotButton="0" quotePrefix="0" xfId="0">
      <alignment horizontal="general" vertical="bottom"/>
    </xf>
    <xf numFmtId="0" fontId="0" fillId="5" borderId="1" applyAlignment="1" pivotButton="0" quotePrefix="0" xfId="0">
      <alignment horizontal="general" vertical="bottom"/>
    </xf>
    <xf numFmtId="0" fontId="0" fillId="6" borderId="1" applyAlignment="1" pivotButton="0" quotePrefix="0" xfId="0">
      <alignment horizontal="general" vertical="bottom"/>
    </xf>
    <xf numFmtId="0" fontId="0" fillId="7" borderId="1" applyAlignment="1" pivotButton="0" quotePrefix="0" xfId="0">
      <alignment horizontal="general" vertical="bottom"/>
    </xf>
    <xf numFmtId="165" fontId="0" fillId="0" borderId="1" applyAlignment="1" pivotButton="0" quotePrefix="0" xfId="0">
      <alignment horizontal="general" vertical="bottom"/>
    </xf>
    <xf numFmtId="166" fontId="0" fillId="0" borderId="1" applyAlignment="1" pivotButton="0" quotePrefix="0" xfId="0">
      <alignment horizontal="general" vertical="bottom"/>
    </xf>
    <xf numFmtId="164" fontId="0" fillId="0" borderId="1" applyAlignment="1" pivotButton="0" quotePrefix="0" xfId="0">
      <alignment horizontal="general" vertical="bottom"/>
    </xf>
    <xf numFmtId="0" fontId="20" fillId="2" borderId="0" applyAlignment="1" pivotButton="0" quotePrefix="0" xfId="0">
      <alignment horizontal="general" vertical="bottom"/>
    </xf>
    <xf numFmtId="0" fontId="21" fillId="0" borderId="0" applyAlignment="1" pivotButton="0" quotePrefix="0" xfId="0">
      <alignment horizontal="general" vertical="bottom"/>
    </xf>
    <xf numFmtId="2" fontId="7" fillId="3" borderId="1" applyAlignment="1" pivotButton="0" quotePrefix="0" xfId="0">
      <alignment horizontal="general" vertical="bottom"/>
    </xf>
    <xf numFmtId="164" fontId="22" fillId="0" borderId="1" applyAlignment="1" pivotButton="0" quotePrefix="0" xfId="0">
      <alignment horizontal="general" vertical="bottom"/>
    </xf>
    <xf numFmtId="0" fontId="23" fillId="0" borderId="0" applyAlignment="1" pivotButton="0" quotePrefix="0" xfId="0">
      <alignment horizontal="general" vertical="bottom"/>
    </xf>
    <xf numFmtId="0" fontId="24" fillId="0" borderId="0" applyAlignment="1" pivotButton="0" quotePrefix="0" xfId="0">
      <alignment horizontal="general" vertical="bottom"/>
    </xf>
    <xf numFmtId="167" fontId="12" fillId="0" borderId="1" applyAlignment="1" pivotButton="0" quotePrefix="0" xfId="0">
      <alignment horizontal="general" vertical="bottom"/>
    </xf>
    <xf numFmtId="0" fontId="25" fillId="0" borderId="1" applyAlignment="1" pivotButton="0" quotePrefix="0" xfId="0">
      <alignment horizontal="general" vertical="bottom"/>
    </xf>
    <xf numFmtId="0" fontId="26" fillId="0" borderId="0" applyAlignment="1" pivotButton="0" quotePrefix="0" xfId="0">
      <alignment horizontal="general" vertical="bottom"/>
    </xf>
    <xf numFmtId="165" fontId="16" fillId="6" borderId="1" applyAlignment="1" pivotButton="0" quotePrefix="0" xfId="0">
      <alignment horizontal="general" vertical="bottom"/>
    </xf>
    <xf numFmtId="165" fontId="0" fillId="5" borderId="1" applyAlignment="1" pivotButton="0" quotePrefix="0" xfId="0">
      <alignment horizontal="general" vertical="bottom"/>
    </xf>
    <xf numFmtId="9" fontId="7" fillId="3" borderId="1" applyAlignment="1" pivotButton="0" quotePrefix="0" xfId="0">
      <alignment horizontal="general" vertical="bottom"/>
    </xf>
    <xf numFmtId="1" fontId="12" fillId="0" borderId="1" applyAlignment="1" pivotButton="0" quotePrefix="0" xfId="0">
      <alignment horizontal="general" vertical="bottom"/>
    </xf>
    <xf numFmtId="1" fontId="16" fillId="0" borderId="1" applyAlignment="1" pivotButton="0" quotePrefix="0" xfId="0">
      <alignment horizontal="general" vertical="bottom"/>
    </xf>
    <xf numFmtId="9" fontId="12" fillId="0" borderId="1" applyAlignment="1" pivotButton="0" quotePrefix="0" xfId="0">
      <alignment horizontal="general" vertical="bottom"/>
    </xf>
    <xf numFmtId="165" fontId="16" fillId="0" borderId="1" applyAlignment="1" pivotButton="0" quotePrefix="0" xfId="0">
      <alignment horizontal="general" vertical="bottom"/>
    </xf>
    <xf numFmtId="0" fontId="27" fillId="0" borderId="0" applyAlignment="1" pivotButton="0" quotePrefix="0" xfId="0">
      <alignment horizontal="general" vertical="bottom"/>
    </xf>
    <xf numFmtId="166" fontId="8" fillId="0" borderId="1" applyAlignment="1" pivotButton="0" quotePrefix="0" xfId="0">
      <alignment horizontal="general" vertical="bottom"/>
    </xf>
    <xf numFmtId="166" fontId="7" fillId="3" borderId="1" applyAlignment="1" pivotButton="0" quotePrefix="0" xfId="0">
      <alignment horizontal="general" vertical="bottom"/>
    </xf>
    <xf numFmtId="164" fontId="16" fillId="7" borderId="1" applyAlignment="1" pivotButton="0" quotePrefix="0" xfId="0">
      <alignment horizontal="general" vertical="bottom"/>
    </xf>
    <xf numFmtId="168" fontId="12" fillId="0" borderId="1" applyAlignment="1" pivotButton="0" quotePrefix="0" xfId="0">
      <alignment horizontal="general" vertical="bottom"/>
    </xf>
    <xf numFmtId="164" fontId="22" fillId="7" borderId="1" applyAlignment="1" pivotButton="0" quotePrefix="0" xfId="0">
      <alignment horizontal="general" vertical="bottom"/>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0B0B0"/>
      <rgbColor rgb="FF808080"/>
      <rgbColor rgb="FF9999FF"/>
      <rgbColor rgb="FF993366"/>
      <rgbColor rgb="FFFFF2CC"/>
      <rgbColor rgb="FFD6EAF8"/>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1F4E79"/>
      <rgbColor rgb="FF5555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G44"/>
  <sheetViews>
    <sheetView showFormulas="0" showGridLines="1"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10" customWidth="1" style="88" min="1" max="1"/>
    <col width="18" customWidth="1" style="88" min="2" max="7"/>
  </cols>
  <sheetData>
    <row r="1" ht="19.5" customHeight="1" s="89">
      <c r="A1" s="90" t="inlineStr">
        <is>
          <t>DRL HOLDINGS  ·  INTELLIGENCE</t>
        </is>
      </c>
    </row>
    <row r="2" ht="15" customHeight="1" s="89">
      <c r="A2" s="91" t="inlineStr">
        <is>
          <t>SNF RISK MANAGEMENT WORKBOOK  |  Chart-backed risk for operators, lenders, investors, REITs &amp; PE</t>
        </is>
      </c>
    </row>
    <row r="4" ht="15" customHeight="1" s="89">
      <c r="A4" s="92" t="inlineStr">
        <is>
          <t>PURPOSE</t>
        </is>
      </c>
    </row>
    <row r="5" ht="15" customHeight="1" s="89">
      <c r="A5" s="93" t="inlineStr">
        <is>
          <t>This workbook provides a standardized, repeatable framework for evaluating financial, operational, clinical, staffing, regulatory, and documentation risk of any Skilled Nursing Facility (SNF). It is designed for use by operators, lenders, investors, REITs, PE firms, and DRL Holdings Intelligence projects. It incorporates categories used by actuaries, credit analysts, and CMS risk frameworks, and is built to work with public-record data (CMS Cost Reports / HCRIS, Care Compare, PBJ staffing) plus private chart-level findings from RevOptix1.</t>
        </is>
      </c>
    </row>
    <row r="6" ht="15" customHeight="1" s="89"/>
    <row r="7" ht="15" customHeight="1" s="89"/>
    <row r="8" ht="15" customHeight="1" s="89"/>
    <row r="10" ht="15" customHeight="1" s="89">
      <c r="A10" s="92" t="inlineStr">
        <is>
          <t>HOW TO USE</t>
        </is>
      </c>
    </row>
    <row r="11" ht="15" customHeight="1" s="89">
      <c r="A11" s="88" t="inlineStr">
        <is>
          <t>1. Start on sheet '02_Facility_Profile' — enter facility identity and basic characteristics (yellow cells = inputs).</t>
        </is>
      </c>
    </row>
    <row r="12" ht="15" customHeight="1" s="89">
      <c r="A12" s="88" t="inlineStr">
        <is>
          <t>2. Complete '03_Financial_Inputs' with cost-report and internal financial data (or paste public HCRIS extracts).</t>
        </is>
      </c>
    </row>
    <row r="13" ht="15" customHeight="1" s="89">
      <c r="A13" s="88" t="inlineStr">
        <is>
          <t>3. Complete '04_Operational_Inputs' (occupancy, payer mix, census).</t>
        </is>
      </c>
    </row>
    <row r="14" ht="15" customHeight="1" s="89">
      <c r="A14" s="88" t="inlineStr">
        <is>
          <t>4. Complete '05_Staffing_Quality' (HPPD, turnover, stars, deficiencies, quality measures).</t>
        </is>
      </c>
    </row>
    <row r="15" ht="15" customHeight="1" s="89">
      <c r="A15" s="88" t="inlineStr">
        <is>
          <t>5. Complete '06_Documentation_Risk' with findings from chart intelligence / RevOptix1 (ties to hidden revenue).</t>
        </is>
      </c>
    </row>
    <row r="16" ht="15" customHeight="1" s="89">
      <c r="A16" s="88" t="inlineStr">
        <is>
          <t>6. Review '07_Risk_Scores' — all scores and composite risk calculate automatically.</t>
        </is>
      </c>
    </row>
    <row r="17" ht="15" customHeight="1" s="89">
      <c r="A17" s="88" t="inlineStr">
        <is>
          <t>7. Review '08_Stress_Scenarios' for DSCR and margin sensitivity under rate cuts, occupancy drops, and labor shocks.</t>
        </is>
      </c>
    </row>
    <row r="18" ht="15" customHeight="1" s="89">
      <c r="A18" s="88" t="inlineStr">
        <is>
          <t>8. Use '09_Dashboard' for executive summary and traffic-light risk view.</t>
        </is>
      </c>
    </row>
    <row r="19" ht="15" customHeight="1" s="89">
      <c r="A19" s="88" t="inlineStr">
        <is>
          <t>9. '10_Benchmarks' contains industry reference values (public-record medians) for comparison.</t>
        </is>
      </c>
    </row>
    <row r="20" ht="15" customHeight="1" s="89">
      <c r="A20" s="88" t="inlineStr">
        <is>
          <t>11. '11_Portfolio_Summary' for multi-facility comparison.</t>
        </is>
      </c>
    </row>
    <row r="21" ht="15" customHeight="1" s="89">
      <c r="A21" s="88" t="inlineStr">
        <is>
          <t>12. '12_CaseMix_PDPM' for case-mix gaps, PDPM component opportunities, revenue impact of closing intensity gaps.</t>
        </is>
      </c>
    </row>
    <row r="22" ht="15" customHeight="1" s="89">
      <c r="A22" s="88" t="inlineStr">
        <is>
          <t>13. '13_Monte_Carlo' for probabilistic DSCR / margin risk (distributions + illustrative 1,000-trial results).</t>
        </is>
      </c>
    </row>
    <row r="23" ht="15" customHeight="1" s="89">
      <c r="A23" s="92" t="inlineStr">
        <is>
          <t>14. '14_Survey_Audit_Prob' — statistical probability of state survey or Medicare audit in next 12 months.</t>
        </is>
      </c>
    </row>
    <row r="24" ht="15" customHeight="1" s="89">
      <c r="A24" s="88" t="inlineStr">
        <is>
          <t>15. '15_Valuation' — Facility enterprise/equity value and REIT-style rent coverage view.</t>
        </is>
      </c>
    </row>
    <row r="25" ht="15" customHeight="1" s="89">
      <c r="A25" s="88" t="inlineStr">
        <is>
          <t>• Care Compare / Nursing Home Compare (Provider Data Catalog) — star ratings, quality measures, staffing, health inspections</t>
        </is>
      </c>
    </row>
    <row r="26" ht="15" customHeight="1" s="89">
      <c r="A26" s="88" t="inlineStr">
        <is>
          <t>• Payroll-Based Journal (PBJ) — nurse staffing hours and turnover</t>
        </is>
      </c>
    </row>
    <row r="27" ht="15" customHeight="1" s="89">
      <c r="A27" s="88" t="inlineStr">
        <is>
          <t>• CMS SNF QRP &amp; VBP measure files — readmissions, HAI, discharge to community, etc.</t>
        </is>
      </c>
    </row>
    <row r="28" ht="15" customHeight="1" s="89">
      <c r="A28" s="88" t="inlineStr">
        <is>
          <t>• State survey / deficiency data (CASPER / ASPEN extracts where available)</t>
        </is>
      </c>
    </row>
    <row r="29" ht="15" customHeight="1" s="89">
      <c r="A29" s="88" t="inlineStr">
        <is>
          <t>• Internal: RevOptix1 chart intelligence / PDPM Audit Group findings for documentation risk layer</t>
        </is>
      </c>
    </row>
    <row r="31" ht="15" customHeight="1" s="89">
      <c r="A31" s="92" t="inlineStr">
        <is>
          <t>COLOR KEY</t>
        </is>
      </c>
    </row>
    <row r="32" ht="15" customHeight="1" s="89">
      <c r="A32" s="94" t="inlineStr">
        <is>
          <t>Yellow cells = User inputs (edit these)</t>
        </is>
      </c>
    </row>
    <row r="33" ht="15" customHeight="1" s="89">
      <c r="A33" s="95" t="inlineStr">
        <is>
          <t>Blue text = Hardcoded inputs</t>
        </is>
      </c>
    </row>
    <row r="34" ht="15" customHeight="1" s="89">
      <c r="A34" s="88" t="inlineStr">
        <is>
          <t>Black text = Formulas (do not overwrite)</t>
        </is>
      </c>
    </row>
    <row r="35" ht="15" customHeight="1" s="89">
      <c r="A35" s="96" t="inlineStr">
        <is>
          <t>Green text = Cross-sheet links</t>
        </is>
      </c>
    </row>
    <row r="36" ht="15" customHeight="1" s="89">
      <c r="A36" s="88" t="inlineStr">
        <is>
          <t>Green / Yellow / Red fills on scores = Risk traffic lights</t>
        </is>
      </c>
    </row>
    <row r="38" ht="15" customHeight="1" s="89">
      <c r="A38" s="92" t="inlineStr">
        <is>
          <t>VERSION</t>
        </is>
      </c>
    </row>
    <row r="39" ht="15" customHeight="1" s="89">
      <c r="A39" s="88" t="inlineStr">
        <is>
          <t>v1.0 | DRL Holdings Intelligence | Built for multi-facility use | Flat-fee / evidence-only methodology compatible</t>
        </is>
      </c>
    </row>
    <row r="40" ht="15" customHeight="1" s="89">
      <c r="A40" s="88" t="inlineStr">
        <is>
          <t>Non-negotiable: BAA required before PHI; findings must be chart-traceable; no % of recovery pricing.</t>
        </is>
      </c>
    </row>
    <row r="42" ht="15" customHeight="1" s="89">
      <c r="A42" s="97" t="inlineStr">
        <is>
          <t>BRANDING &amp; VERSION CONTROL</t>
        </is>
      </c>
    </row>
    <row r="43" ht="15" customHeight="1" s="89">
      <c r="A43" s="88" t="inlineStr">
        <is>
          <t>Product: DRL Holdings Intelligence | Evidence-only, flat-fee, BAA-first | Version 1.3 (Monte Carlo + Case-Mix + Survey/Audit + Valuation)</t>
        </is>
      </c>
    </row>
    <row r="44" ht="15" customHeight="1" s="89">
      <c r="A44" s="88" t="inlineStr">
        <is>
          <t>Confidential — For authorized use in facility assessment, credit diligence, and portfolio monitoring only.</t>
        </is>
      </c>
    </row>
  </sheetData>
  <mergeCells count="13">
    <mergeCell ref="A13:G13"/>
    <mergeCell ref="A14:G14"/>
    <mergeCell ref="A1:G1"/>
    <mergeCell ref="A17:G17"/>
    <mergeCell ref="A18:G18"/>
    <mergeCell ref="A12:G12"/>
    <mergeCell ref="A20:G20"/>
    <mergeCell ref="A2:G2"/>
    <mergeCell ref="A16:G16"/>
    <mergeCell ref="A15:G15"/>
    <mergeCell ref="A5:G8"/>
    <mergeCell ref="A19:G19"/>
    <mergeCell ref="A11:G1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0.xml><?xml version="1.0" encoding="utf-8"?>
<worksheet xmlns="http://schemas.openxmlformats.org/spreadsheetml/2006/main">
  <sheetPr filterMode="0">
    <outlinePr summaryBelow="1" summaryRight="1"/>
    <pageSetUpPr fitToPage="0"/>
  </sheetPr>
  <dimension ref="A1:E27"/>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30" customWidth="1" style="88" min="1" max="1"/>
    <col width="18" customWidth="1" style="88" min="2" max="3"/>
    <col width="20" customWidth="1" style="88" min="4" max="4"/>
    <col width="55" customWidth="1" style="88" min="5" max="5"/>
  </cols>
  <sheetData>
    <row r="1" ht="19.5" customHeight="1" s="89">
      <c r="A1" s="98" t="inlineStr">
        <is>
          <t>INDUSTRY BENCHMARKS (Public-Record Reference Values)</t>
        </is>
      </c>
    </row>
    <row r="3" ht="15" customHeight="1" s="89">
      <c r="A3" s="103" t="inlineStr">
        <is>
          <t>These are approximate industry reference points drawn from public CMS data, credit analyses, and sector reports. Use for comparison only; always prefer facility-specific peer sets when available.</t>
        </is>
      </c>
    </row>
    <row r="4" ht="15" customHeight="1" s="89"/>
    <row r="6" ht="26.25" customHeight="1" s="89">
      <c r="A6" s="99" t="inlineStr">
        <is>
          <t>Metric</t>
        </is>
      </c>
      <c r="B6" s="99" t="inlineStr">
        <is>
          <t>Distressed / Bottom</t>
        </is>
      </c>
      <c r="C6" s="99" t="inlineStr">
        <is>
          <t>Median / Typical</t>
        </is>
      </c>
      <c r="D6" s="99" t="inlineStr">
        <is>
          <t>Strong / Top Quartile</t>
        </is>
      </c>
      <c r="E6" s="99" t="inlineStr">
        <is>
          <t>Source / Context</t>
        </is>
      </c>
    </row>
    <row r="7" ht="15" customHeight="1" s="89">
      <c r="A7" s="101" t="inlineStr">
        <is>
          <t>DSCR (x)</t>
        </is>
      </c>
      <c r="B7" s="141" t="inlineStr">
        <is>
          <t>0.7-1.0</t>
        </is>
      </c>
      <c r="C7" s="142" t="inlineStr">
        <is>
          <t>1.18</t>
        </is>
      </c>
      <c r="D7" s="143" t="inlineStr">
        <is>
          <t>&gt;1.55</t>
        </is>
      </c>
      <c r="E7" s="101" t="inlineStr">
        <is>
          <t>Sector credit analyses; lender floors often 1.20-1.25x</t>
        </is>
      </c>
    </row>
    <row r="8" ht="15" customHeight="1" s="89">
      <c r="A8" s="101" t="inlineStr">
        <is>
          <t>EBITDA Margin %</t>
        </is>
      </c>
      <c r="B8" s="141" t="inlineStr">
        <is>
          <t>&lt;6%</t>
        </is>
      </c>
      <c r="C8" s="142" t="inlineStr">
        <is>
          <t>8-13%</t>
        </is>
      </c>
      <c r="D8" s="143" t="inlineStr">
        <is>
          <t>&gt;13-16%</t>
        </is>
      </c>
      <c r="E8" s="101" t="inlineStr">
        <is>
          <t>Operator medians</t>
        </is>
      </c>
    </row>
    <row r="9" ht="15" customHeight="1" s="89">
      <c r="A9" s="101" t="inlineStr">
        <is>
          <t>Net Margin %</t>
        </is>
      </c>
      <c r="B9" s="141" t="inlineStr">
        <is>
          <t>Near 0 or neg</t>
        </is>
      </c>
      <c r="C9" s="142" t="inlineStr">
        <is>
          <t>~2.8%</t>
        </is>
      </c>
      <c r="D9" s="143" t="inlineStr">
        <is>
          <t>&gt;5%</t>
        </is>
      </c>
      <c r="E9" s="101" t="inlineStr">
        <is>
          <t>Thin structural margins</t>
        </is>
      </c>
    </row>
    <row r="10" ht="15" customHeight="1" s="89">
      <c r="A10" s="101" t="inlineStr">
        <is>
          <t>Debt / EBITDA (x)</t>
        </is>
      </c>
      <c r="B10" s="141" t="inlineStr">
        <is>
          <t>&gt;6-8x</t>
        </is>
      </c>
      <c r="C10" s="142" t="inlineStr">
        <is>
          <t>~4.5-5.5x</t>
        </is>
      </c>
      <c r="D10" s="143" t="inlineStr">
        <is>
          <t>&lt;3.5x</t>
        </is>
      </c>
      <c r="E10" s="101" t="inlineStr">
        <is>
          <t>Leverage watchpoint</t>
        </is>
      </c>
    </row>
    <row r="11" ht="15" customHeight="1" s="89">
      <c r="A11" s="101" t="inlineStr">
        <is>
          <t>Current Ratio</t>
        </is>
      </c>
      <c r="B11" s="141" t="inlineStr">
        <is>
          <t>&lt;1.0</t>
        </is>
      </c>
      <c r="C11" s="142" t="inlineStr">
        <is>
          <t>1.10-1.50</t>
        </is>
      </c>
      <c r="D11" s="143" t="inlineStr">
        <is>
          <t>&gt;1.50</t>
        </is>
      </c>
      <c r="E11" s="101" t="inlineStr">
        <is>
          <t>Liquidity</t>
        </is>
      </c>
    </row>
    <row r="12" ht="15" customHeight="1" s="89">
      <c r="A12" s="101" t="inlineStr">
        <is>
          <t>Occupancy %</t>
        </is>
      </c>
      <c r="B12" s="141" t="inlineStr">
        <is>
          <t>&lt;75%</t>
        </is>
      </c>
      <c r="C12" s="142" t="inlineStr">
        <is>
          <t>78-85%</t>
        </is>
      </c>
      <c r="D12" s="143" t="inlineStr">
        <is>
          <t>&gt;85-90%</t>
        </is>
      </c>
      <c r="E12" s="101" t="inlineStr">
        <is>
          <t>Break-even often 75-80%</t>
        </is>
      </c>
    </row>
    <row r="13" ht="15" customHeight="1" s="89">
      <c r="A13" s="101" t="inlineStr">
        <is>
          <t>Medicare Census %</t>
        </is>
      </c>
      <c r="B13" s="141" t="inlineStr">
        <is>
          <t>&lt;8-10%</t>
        </is>
      </c>
      <c r="C13" s="142" t="inlineStr">
        <is>
          <t>15-25%</t>
        </is>
      </c>
      <c r="D13" s="143" t="inlineStr">
        <is>
          <t>&gt;25%</t>
        </is>
      </c>
      <c r="E13" s="101" t="inlineStr">
        <is>
          <t>Higher margin payer</t>
        </is>
      </c>
    </row>
    <row r="14" ht="15" customHeight="1" s="89">
      <c r="A14" s="101" t="inlineStr">
        <is>
          <t>Medicaid Census %</t>
        </is>
      </c>
      <c r="B14" s="141" t="inlineStr">
        <is>
          <t>&gt;75-80%</t>
        </is>
      </c>
      <c r="C14" s="142" t="inlineStr">
        <is>
          <t>50-70%</t>
        </is>
      </c>
      <c r="D14" s="143" t="inlineStr">
        <is>
          <t>&lt;50%</t>
        </is>
      </c>
      <c r="E14" s="101" t="inlineStr">
        <is>
          <t>Rate &amp; delay risk</t>
        </is>
      </c>
    </row>
    <row r="15" ht="15" customHeight="1" s="89">
      <c r="A15" s="101" t="inlineStr">
        <is>
          <t>Agency Labor % of Labor</t>
        </is>
      </c>
      <c r="B15" s="141" t="inlineStr">
        <is>
          <t>&gt;25%</t>
        </is>
      </c>
      <c r="C15" s="142" t="inlineStr">
        <is>
          <t>8-20%</t>
        </is>
      </c>
      <c r="D15" s="143" t="inlineStr">
        <is>
          <t>&lt;8-10%</t>
        </is>
      </c>
      <c r="E15" s="101" t="inlineStr">
        <is>
          <t>Major cost &amp; quality driver</t>
        </is>
      </c>
    </row>
    <row r="16" ht="15" customHeight="1" s="89">
      <c r="A16" s="101" t="inlineStr">
        <is>
          <t>Total Nurse Turnover %</t>
        </is>
      </c>
      <c r="B16" s="141" t="inlineStr">
        <is>
          <t>&gt;60-70%</t>
        </is>
      </c>
      <c r="C16" s="142" t="inlineStr">
        <is>
          <t>~40-55%</t>
        </is>
      </c>
      <c r="D16" s="143" t="inlineStr">
        <is>
          <t>&lt;35%</t>
        </is>
      </c>
      <c r="E16" s="101" t="inlineStr">
        <is>
          <t>VBP measure; quality link</t>
        </is>
      </c>
    </row>
    <row r="17" ht="15" customHeight="1" s="89">
      <c r="A17" s="101" t="inlineStr">
        <is>
          <t>Overall 5-Star</t>
        </is>
      </c>
      <c r="B17" s="141" t="inlineStr">
        <is>
          <t>1</t>
        </is>
      </c>
      <c r="C17" s="142" t="inlineStr">
        <is>
          <t>3</t>
        </is>
      </c>
      <c r="D17" s="143" t="inlineStr">
        <is>
          <t>4-5</t>
        </is>
      </c>
      <c r="E17" s="101" t="inlineStr">
        <is>
          <t>Care Compare</t>
        </is>
      </c>
    </row>
    <row r="18" ht="15" customHeight="1" s="89">
      <c r="A18" s="101" t="inlineStr">
        <is>
          <t>30-Day Readmission</t>
        </is>
      </c>
      <c r="B18" s="141" t="inlineStr">
        <is>
          <t>High vs peer</t>
        </is>
      </c>
      <c r="C18" s="142" t="inlineStr">
        <is>
          <t>National avg</t>
        </is>
      </c>
      <c r="D18" s="143" t="inlineStr">
        <is>
          <t>Low vs peer</t>
        </is>
      </c>
      <c r="E18" s="101" t="inlineStr">
        <is>
          <t>SNFRM / VBP</t>
        </is>
      </c>
    </row>
    <row r="19" ht="15" customHeight="1" s="89">
      <c r="A19" s="101" t="inlineStr">
        <is>
          <t>Days in AR</t>
        </is>
      </c>
      <c r="B19" s="141" t="inlineStr">
        <is>
          <t>&gt;60</t>
        </is>
      </c>
      <c r="C19" s="142" t="inlineStr">
        <is>
          <t>40-50</t>
        </is>
      </c>
      <c r="D19" s="143" t="inlineStr">
        <is>
          <t>&lt;35-40</t>
        </is>
      </c>
      <c r="E19" s="101" t="inlineStr">
        <is>
          <t>Cash conversion</t>
        </is>
      </c>
    </row>
    <row r="22" ht="15" customHeight="1" s="89">
      <c r="A22" s="92" t="inlineStr">
        <is>
          <t>NOTES ON PUBLIC DATA</t>
        </is>
      </c>
    </row>
    <row r="23" ht="15" customHeight="1" s="89">
      <c r="A23" s="88" t="inlineStr">
        <is>
          <t>• CMS Cost Report PUF: data.cms.gov → Skilled Nursing Facility Cost Report (annual).</t>
        </is>
      </c>
    </row>
    <row r="24" ht="15" customHeight="1" s="89">
      <c r="A24" s="88" t="inlineStr">
        <is>
          <t>• Care Compare / Provider Data Catalog: star ratings, staffing, quality measures, inspection data.</t>
        </is>
      </c>
    </row>
    <row r="25" ht="15" customHeight="1" s="89">
      <c r="A25" s="88" t="inlineStr">
        <is>
          <t>• PBJ: staffing hours and turnover used in Five-Star and VBP.</t>
        </is>
      </c>
    </row>
    <row r="26" ht="15" customHeight="1" s="89">
      <c r="A26" s="88" t="inlineStr">
        <is>
          <t>• Always document the exact cost-report year and Care Compare extract date used for any formal report.</t>
        </is>
      </c>
    </row>
    <row r="27" ht="15" customHeight="1" s="89">
      <c r="A27" s="88" t="inlineStr">
        <is>
          <t>• This workbook does not replace formal appraisal, audit, or legal due diligence.</t>
        </is>
      </c>
    </row>
  </sheetData>
  <mergeCells count="2">
    <mergeCell ref="A3:E4"/>
    <mergeCell ref="A1:E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1.xml><?xml version="1.0" encoding="utf-8"?>
<worksheet xmlns="http://schemas.openxmlformats.org/spreadsheetml/2006/main">
  <sheetPr filterMode="0">
    <outlinePr summaryBelow="1" summaryRight="1"/>
    <pageSetUpPr fitToPage="0"/>
  </sheetPr>
  <dimension ref="A1:J15"/>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8" customWidth="1" style="88" min="1" max="1"/>
    <col width="12" customWidth="1" style="88" min="2" max="2"/>
    <col width="8" customWidth="1" style="88" min="3" max="3"/>
    <col width="12" customWidth="1" style="88" min="4" max="4"/>
    <col width="10" customWidth="1" style="88" min="5" max="5"/>
    <col width="14" customWidth="1" style="88" min="6" max="6"/>
    <col width="18" customWidth="1" style="88" min="7" max="7"/>
    <col width="14" customWidth="1" style="88" min="8" max="8"/>
    <col width="18" customWidth="1" style="88" min="9" max="9"/>
    <col width="45" customWidth="1" style="88" min="10" max="10"/>
  </cols>
  <sheetData>
    <row r="1" ht="19.5" customHeight="1" s="89">
      <c r="A1" s="98" t="inlineStr">
        <is>
          <t>PORTFOLIO / MULTI-FACILITY SUMMARY</t>
        </is>
      </c>
    </row>
    <row r="3" ht="15" customHeight="1" s="89">
      <c r="A3" s="103" t="inlineStr">
        <is>
          <t>Use one copy of this workbook per facility. Paste key outputs here for side-by-side comparison.</t>
        </is>
      </c>
    </row>
    <row r="5" ht="39" customHeight="1" s="89">
      <c r="A5" s="99" t="inlineStr">
        <is>
          <t>Facility Name</t>
        </is>
      </c>
      <c r="B5" s="99" t="inlineStr">
        <is>
          <t>CCN</t>
        </is>
      </c>
      <c r="C5" s="99" t="inlineStr">
        <is>
          <t>Beds</t>
        </is>
      </c>
      <c r="D5" s="99" t="inlineStr">
        <is>
          <t>Occupancy %</t>
        </is>
      </c>
      <c r="E5" s="99" t="inlineStr">
        <is>
          <t>DSCR</t>
        </is>
      </c>
      <c r="F5" s="99" t="inlineStr">
        <is>
          <t>Composite Risk</t>
        </is>
      </c>
      <c r="G5" s="99" t="inlineStr">
        <is>
          <t>Doc Opportunity Score</t>
        </is>
      </c>
      <c r="H5" s="99" t="inlineStr">
        <is>
          <t>Doc Risk Score</t>
        </is>
      </c>
      <c r="I5" s="99" t="inlineStr">
        <is>
          <t>Annualized Hidden $</t>
        </is>
      </c>
      <c r="J5" s="99" t="inlineStr">
        <is>
          <t>Notes</t>
        </is>
      </c>
    </row>
    <row r="6" ht="15" customHeight="1" s="89">
      <c r="A6" s="101" t="inlineStr">
        <is>
          <t>Example Care Center of Springfield</t>
        </is>
      </c>
      <c r="B6" s="101" t="inlineStr">
        <is>
          <t>145123</t>
        </is>
      </c>
      <c r="C6" s="101" t="n">
        <v>120</v>
      </c>
      <c r="D6" s="144" t="n">
        <v>0.8169999999999999</v>
      </c>
      <c r="E6" s="135" t="n">
        <v>1.58</v>
      </c>
      <c r="F6" s="145" t="n">
        <v>42.3</v>
      </c>
      <c r="G6" s="101" t="n">
        <v>68</v>
      </c>
      <c r="H6" s="101" t="n">
        <v>42</v>
      </c>
      <c r="I6" s="146" t="n">
        <v>620000</v>
      </c>
      <c r="J6" s="101" t="inlineStr">
        <is>
          <t>Demo facility — moderate overall risk, meaningful documentation upside</t>
        </is>
      </c>
    </row>
    <row r="7" ht="15" customHeight="1" s="89">
      <c r="A7" s="102" t="n"/>
      <c r="B7" s="102" t="n"/>
      <c r="C7" s="102" t="n"/>
      <c r="D7" s="102" t="n"/>
      <c r="E7" s="102" t="n"/>
      <c r="F7" s="102" t="n"/>
      <c r="G7" s="102" t="n"/>
      <c r="H7" s="102" t="n"/>
      <c r="I7" s="102" t="n"/>
      <c r="J7" s="102" t="n"/>
    </row>
    <row r="8" ht="15" customHeight="1" s="89">
      <c r="A8" s="102" t="n"/>
      <c r="B8" s="102" t="n"/>
      <c r="C8" s="102" t="n"/>
      <c r="D8" s="102" t="n"/>
      <c r="E8" s="102" t="n"/>
      <c r="F8" s="102" t="n"/>
      <c r="G8" s="102" t="n"/>
      <c r="H8" s="102" t="n"/>
      <c r="I8" s="102" t="n"/>
      <c r="J8" s="102" t="n"/>
    </row>
    <row r="9" ht="15" customHeight="1" s="89">
      <c r="A9" s="102" t="n"/>
      <c r="B9" s="102" t="n"/>
      <c r="C9" s="102" t="n"/>
      <c r="D9" s="102" t="n"/>
      <c r="E9" s="102" t="n"/>
      <c r="F9" s="102" t="n"/>
      <c r="G9" s="102" t="n"/>
      <c r="H9" s="102" t="n"/>
      <c r="I9" s="102" t="n"/>
      <c r="J9" s="102" t="n"/>
    </row>
    <row r="10" ht="15" customHeight="1" s="89">
      <c r="A10" s="102" t="n"/>
      <c r="B10" s="102" t="n"/>
      <c r="C10" s="102" t="n"/>
      <c r="D10" s="102" t="n"/>
      <c r="E10" s="102" t="n"/>
      <c r="F10" s="102" t="n"/>
      <c r="G10" s="102" t="n"/>
      <c r="H10" s="102" t="n"/>
      <c r="I10" s="102" t="n"/>
      <c r="J10" s="102" t="n"/>
    </row>
    <row r="11" ht="15" customHeight="1" s="89">
      <c r="A11" s="102" t="n"/>
      <c r="B11" s="102" t="n"/>
      <c r="C11" s="102" t="n"/>
      <c r="D11" s="102" t="n"/>
      <c r="E11" s="102" t="n"/>
      <c r="F11" s="102" t="n"/>
      <c r="G11" s="102" t="n"/>
      <c r="H11" s="102" t="n"/>
      <c r="I11" s="102" t="n"/>
      <c r="J11" s="102" t="n"/>
    </row>
    <row r="12" ht="15" customHeight="1" s="89">
      <c r="A12" s="102" t="n"/>
      <c r="B12" s="102" t="n"/>
      <c r="C12" s="102" t="n"/>
      <c r="D12" s="102" t="n"/>
      <c r="E12" s="102" t="n"/>
      <c r="F12" s="102" t="n"/>
      <c r="G12" s="102" t="n"/>
      <c r="H12" s="102" t="n"/>
      <c r="I12" s="102" t="n"/>
      <c r="J12" s="102" t="n"/>
    </row>
    <row r="13" ht="15" customHeight="1" s="89">
      <c r="A13" s="102" t="n"/>
      <c r="B13" s="102" t="n"/>
      <c r="C13" s="102" t="n"/>
      <c r="D13" s="102" t="n"/>
      <c r="E13" s="102" t="n"/>
      <c r="F13" s="102" t="n"/>
      <c r="G13" s="102" t="n"/>
      <c r="H13" s="102" t="n"/>
      <c r="I13" s="102" t="n"/>
      <c r="J13" s="102" t="n"/>
    </row>
    <row r="14" ht="15" customHeight="1" s="89">
      <c r="A14" s="102" t="n"/>
      <c r="B14" s="102" t="n"/>
      <c r="C14" s="102" t="n"/>
      <c r="D14" s="102" t="n"/>
      <c r="E14" s="102" t="n"/>
      <c r="F14" s="102" t="n"/>
      <c r="G14" s="102" t="n"/>
      <c r="H14" s="102" t="n"/>
      <c r="I14" s="102" t="n"/>
      <c r="J14" s="102" t="n"/>
    </row>
    <row r="15" ht="15" customHeight="1" s="89">
      <c r="A15" s="102" t="n"/>
      <c r="B15" s="102" t="n"/>
      <c r="C15" s="102" t="n"/>
      <c r="D15" s="102" t="n"/>
      <c r="E15" s="102" t="n"/>
      <c r="F15" s="102" t="n"/>
      <c r="G15" s="102" t="n"/>
      <c r="H15" s="102" t="n"/>
      <c r="I15" s="102" t="n"/>
      <c r="J15" s="102" t="n"/>
    </row>
  </sheetData>
  <mergeCells count="2">
    <mergeCell ref="A3:H3"/>
    <mergeCell ref="A1:H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2.xml><?xml version="1.0" encoding="utf-8"?>
<worksheet xmlns="http://schemas.openxmlformats.org/spreadsheetml/2006/main">
  <sheetPr filterMode="0">
    <outlinePr summaryBelow="1" summaryRight="1"/>
    <pageSetUpPr fitToPage="0"/>
  </sheetPr>
  <dimension ref="A1:F80"/>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8" customWidth="1" style="88" min="1" max="1"/>
    <col width="16" customWidth="1" style="88" min="2" max="2"/>
    <col width="28" customWidth="1" style="88" min="3" max="3"/>
    <col width="16" customWidth="1" style="88" min="4" max="4"/>
    <col width="12" customWidth="1" style="88" min="5" max="5"/>
  </cols>
  <sheetData>
    <row r="1" ht="19.5" customHeight="1" s="89">
      <c r="A1" s="147" t="inlineStr">
        <is>
          <t>CASE-MIX &amp; PDPM ADJUSTMENT ENGINE</t>
        </is>
      </c>
    </row>
    <row r="3" ht="15" customHeight="1" s="89">
      <c r="A3" s="148" t="inlineStr">
        <is>
          <t>Purpose: Adjust revenue and risk views for case-mix intensity. Supports observed CMI and PDPM component gaps from chart reviews.</t>
        </is>
      </c>
    </row>
    <row r="5" ht="15" customHeight="1" s="89">
      <c r="A5" s="97" t="inlineStr">
        <is>
          <t>A. FACILITY CASE-MIX INPUTS</t>
        </is>
      </c>
    </row>
    <row r="6" ht="15" customHeight="1" s="89">
      <c r="A6" s="119" t="inlineStr">
        <is>
          <t>Metric</t>
        </is>
      </c>
      <c r="B6" s="119" t="inlineStr">
        <is>
          <t>Value</t>
        </is>
      </c>
      <c r="C6" s="119" t="inlineStr">
        <is>
          <t>Source / Notes</t>
        </is>
      </c>
    </row>
    <row r="7" ht="15" customHeight="1" s="89">
      <c r="A7" s="101" t="inlineStr">
        <is>
          <t>Certified Beds</t>
        </is>
      </c>
      <c r="B7" s="102" t="n">
        <v>120</v>
      </c>
      <c r="C7" s="101" t="n"/>
    </row>
    <row r="8" ht="15" customHeight="1" s="89">
      <c r="A8" s="101" t="inlineStr">
        <is>
          <t>Average Daily Census</t>
        </is>
      </c>
      <c r="B8" s="102" t="n">
        <v>98</v>
      </c>
      <c r="C8" s="101" t="n"/>
    </row>
    <row r="9" ht="15" customHeight="1" s="89">
      <c r="A9" s="101" t="inlineStr">
        <is>
          <t>Medicare Part A Days (annual)</t>
        </is>
      </c>
      <c r="B9" s="102" t="n">
        <v>8500</v>
      </c>
      <c r="C9" s="101" t="n"/>
    </row>
    <row r="10" ht="15" customHeight="1" s="89">
      <c r="A10" s="101" t="inlineStr">
        <is>
          <t>Facility PDPM Neutral Rate (or RUG equivalent)</t>
        </is>
      </c>
      <c r="B10" s="149" t="n">
        <v>1.42</v>
      </c>
      <c r="C10" s="101" t="n"/>
    </row>
    <row r="11" ht="15" customHeight="1" s="89">
      <c r="A11" s="101" t="inlineStr">
        <is>
          <t>Observed / Actual Case-Mix Index</t>
        </is>
      </c>
      <c r="B11" s="149" t="n">
        <v>1.31</v>
      </c>
      <c r="C11" s="101" t="n"/>
    </row>
    <row r="12" ht="15" customHeight="1" s="89">
      <c r="A12" s="101" t="inlineStr">
        <is>
          <t>Peer / Market Average CMI (if known)</t>
        </is>
      </c>
      <c r="B12" s="149" t="n">
        <v>1.38</v>
      </c>
      <c r="C12" s="101" t="n"/>
    </row>
    <row r="14" ht="15" customHeight="1" s="89">
      <c r="A14" s="97" t="inlineStr">
        <is>
          <t>B. CALCULATED CASE-MIX GAPS</t>
        </is>
      </c>
    </row>
    <row r="15" ht="15" customHeight="1" s="89">
      <c r="A15" s="119" t="inlineStr">
        <is>
          <t>Metric</t>
        </is>
      </c>
      <c r="B15" s="119" t="inlineStr">
        <is>
          <t>Value</t>
        </is>
      </c>
      <c r="C15" s="119" t="inlineStr">
        <is>
          <t>Interpretation</t>
        </is>
      </c>
    </row>
    <row r="16" ht="15" customHeight="1" s="89">
      <c r="A16" s="88" t="inlineStr">
        <is>
          <t>CMI Gap vs Neutral (pts)</t>
        </is>
      </c>
      <c r="B16" s="106">
        <f>B11-B10</f>
        <v/>
      </c>
      <c r="C16" s="101" t="inlineStr">
        <is>
          <t>Negative = under-capture relative to neutral</t>
        </is>
      </c>
    </row>
    <row r="17" ht="15" customHeight="1" s="89">
      <c r="A17" s="88" t="inlineStr">
        <is>
          <t>CMI Gap vs Peer (pts)</t>
        </is>
      </c>
      <c r="B17" s="106">
        <f>IF(B12=0,"",B11-B12)</f>
        <v/>
      </c>
      <c r="C17" s="101" t="inlineStr">
        <is>
          <t>Negative = below market intensity</t>
        </is>
      </c>
    </row>
    <row r="18" ht="15" customHeight="1" s="89">
      <c r="A18" s="88" t="inlineStr">
        <is>
          <t>Implied Under-Documented Intensity %</t>
        </is>
      </c>
      <c r="B18" s="105">
        <f>IF(B10=0,"",(B10-B11)/B10)</f>
        <v/>
      </c>
      <c r="C18" s="101" t="inlineStr">
        <is>
          <t>Rough % of neutral intensity missing</t>
        </is>
      </c>
    </row>
    <row r="20" ht="15" customHeight="1" s="89">
      <c r="A20" s="97" t="inlineStr">
        <is>
          <t>C. REVENUE IMPACT OF CLOSING CMI GAP</t>
        </is>
      </c>
    </row>
    <row r="21" ht="15" customHeight="1" s="89">
      <c r="A21" s="119" t="inlineStr">
        <is>
          <t>Metric</t>
        </is>
      </c>
      <c r="B21" s="119" t="inlineStr">
        <is>
          <t>Value</t>
        </is>
      </c>
      <c r="C21" s="119" t="inlineStr">
        <is>
          <t>Notes</t>
        </is>
      </c>
    </row>
    <row r="22" ht="15" customHeight="1" s="89">
      <c r="A22" s="88" t="inlineStr">
        <is>
          <t>Base Medicare Revenue (from Financials)</t>
        </is>
      </c>
      <c r="B22" s="120">
        <f>03_Financial_Inputs!B9</f>
        <v/>
      </c>
      <c r="C22" s="101" t="inlineStr">
        <is>
          <t>Linked</t>
        </is>
      </c>
    </row>
    <row r="23" ht="15" customHeight="1" s="89">
      <c r="A23" s="88" t="inlineStr">
        <is>
          <t>Estimated $ per 0.01 CMI point (annual)</t>
        </is>
      </c>
      <c r="B23" s="104" t="n">
        <v>8500</v>
      </c>
      <c r="C23" s="101" t="inlineStr">
        <is>
          <t>Calibrate to your market / rate tables</t>
        </is>
      </c>
    </row>
    <row r="24" ht="15" customHeight="1" s="89">
      <c r="A24" s="88" t="inlineStr">
        <is>
          <t>Annualized Opportunity from Closing Neutral Gap</t>
        </is>
      </c>
      <c r="B24" s="121">
        <f>IF(B16&gt;=0,0,ABS(B16)*100*B23)</f>
        <v/>
      </c>
      <c r="C24" s="101" t="inlineStr">
        <is>
          <t>Only counts under-capture (negative gap)</t>
        </is>
      </c>
    </row>
    <row r="26" ht="15" customHeight="1" s="89">
      <c r="A26" s="97" t="inlineStr">
        <is>
          <t>D. PDPM COMPONENT GAP ANALYSIS (from Chart Review)</t>
        </is>
      </c>
    </row>
    <row r="27" ht="26.25" customHeight="1" s="89">
      <c r="A27" s="119" t="inlineStr">
        <is>
          <t>Component</t>
        </is>
      </c>
      <c r="B27" s="119" t="inlineStr">
        <is>
          <t>Charts with Gap %</t>
        </is>
      </c>
      <c r="C27" s="119" t="inlineStr">
        <is>
          <t>Est. $ Impact / Chart</t>
        </is>
      </c>
      <c r="D27" s="119" t="inlineStr">
        <is>
          <t>Sample $ Impact</t>
        </is>
      </c>
      <c r="E27" s="119" t="inlineStr">
        <is>
          <t>Priority</t>
        </is>
      </c>
    </row>
    <row r="28" ht="15" customHeight="1" s="89">
      <c r="A28" s="101" t="inlineStr">
        <is>
          <t>PT / OT Therapy Minutes</t>
        </is>
      </c>
      <c r="B28" s="116" t="n">
        <v>0.22</v>
      </c>
      <c r="C28" s="104" t="n">
        <v>180</v>
      </c>
      <c r="D28" s="121">
        <f>B28*06_Documentation_Risk!B7*C28</f>
        <v/>
      </c>
      <c r="E28" s="102" t="n"/>
    </row>
    <row r="29" ht="15" customHeight="1" s="89">
      <c r="A29" s="101" t="inlineStr">
        <is>
          <t>SLP</t>
        </is>
      </c>
      <c r="B29" s="116" t="n">
        <v>0.08</v>
      </c>
      <c r="C29" s="104" t="n">
        <v>95</v>
      </c>
      <c r="D29" s="121">
        <f>B29*06_Documentation_Risk!B7*C29</f>
        <v/>
      </c>
      <c r="E29" s="102" t="n"/>
    </row>
    <row r="30" ht="15" customHeight="1" s="89">
      <c r="A30" s="101" t="inlineStr">
        <is>
          <t>Nursing Component (diagnosis specificity)</t>
        </is>
      </c>
      <c r="B30" s="116" t="n">
        <v>0.35</v>
      </c>
      <c r="C30" s="104" t="n">
        <v>210</v>
      </c>
      <c r="D30" s="121">
        <f>B30*06_Documentation_Risk!B7*C30</f>
        <v/>
      </c>
      <c r="E30" s="102" t="n"/>
    </row>
    <row r="31" ht="15" customHeight="1" s="89">
      <c r="A31" s="101" t="inlineStr">
        <is>
          <t>NTA (Non-Therapy Ancillary)</t>
        </is>
      </c>
      <c r="B31" s="116" t="n">
        <v>0.18</v>
      </c>
      <c r="C31" s="104" t="n">
        <v>140</v>
      </c>
      <c r="D31" s="121">
        <f>B31*06_Documentation_Risk!B7*C31</f>
        <v/>
      </c>
      <c r="E31" s="102" t="n"/>
    </row>
    <row r="32" ht="15" customHeight="1" s="89">
      <c r="A32" s="101" t="inlineStr">
        <is>
          <t>Section GG (function) scoring</t>
        </is>
      </c>
      <c r="B32" s="116" t="n">
        <v>0.29</v>
      </c>
      <c r="C32" s="104" t="n">
        <v>75</v>
      </c>
      <c r="D32" s="121">
        <f>B32*06_Documentation_Risk!B7*C32</f>
        <v/>
      </c>
      <c r="E32" s="102" t="n"/>
    </row>
    <row r="33" ht="15" customHeight="1" s="89">
      <c r="A33" s="101" t="inlineStr">
        <is>
          <t>Secondary Diagnosis Specificity</t>
        </is>
      </c>
      <c r="B33" s="116" t="n">
        <v>0.41</v>
      </c>
      <c r="C33" s="104" t="n">
        <v>120</v>
      </c>
      <c r="D33" s="121">
        <f>B33*06_Documentation_Risk!B7*C33</f>
        <v/>
      </c>
      <c r="E33" s="102" t="n"/>
    </row>
    <row r="35" ht="15" customHeight="1" s="89">
      <c r="A35" s="88" t="inlineStr">
        <is>
          <t>Total Sample Component Opportunity $</t>
        </is>
      </c>
      <c r="B35" s="150">
        <f>SUM(D28:D33)</f>
        <v/>
      </c>
    </row>
    <row r="37" ht="15" customHeight="1" s="89">
      <c r="A37" s="97" t="inlineStr">
        <is>
          <t>E. CASE-MIX ADJUSTED RISK FLAGS</t>
        </is>
      </c>
    </row>
    <row r="38" ht="15" customHeight="1" s="89">
      <c r="A38" s="119" t="inlineStr">
        <is>
          <t>Flag</t>
        </is>
      </c>
      <c r="B38" s="119" t="inlineStr">
        <is>
          <t>Status</t>
        </is>
      </c>
      <c r="C38" s="119" t="inlineStr">
        <is>
          <t>Rule</t>
        </is>
      </c>
    </row>
    <row r="39" ht="15" customHeight="1" s="89">
      <c r="A39" s="88" t="inlineStr">
        <is>
          <t>Material CMI under-capture vs Neutral</t>
        </is>
      </c>
      <c r="B39" s="126">
        <f>IF(B16&lt;-0.05,"YES — REVIEW","No")</f>
        <v/>
      </c>
      <c r="C39" s="101" t="inlineStr">
        <is>
          <t>Gap &lt; -0.05 points</t>
        </is>
      </c>
    </row>
    <row r="40" ht="15" customHeight="1" s="89">
      <c r="A40" s="88" t="inlineStr">
        <is>
          <t>Below peer CMI</t>
        </is>
      </c>
      <c r="B40" s="126">
        <f>IF(AND(B12&gt;0,B17&lt;-0.03),"YES — REVIEW","No")</f>
        <v/>
      </c>
      <c r="C40" s="101" t="inlineStr">
        <is>
          <t>Gap vs peer &lt; -0.03</t>
        </is>
      </c>
    </row>
    <row r="41" ht="15" customHeight="1" s="89">
      <c r="A41" s="88" t="inlineStr">
        <is>
          <t>High Section GG incompleteness</t>
        </is>
      </c>
      <c r="B41" s="126">
        <f>IF(B32&gt;=0.25,"YES — REVIEW","No")</f>
        <v/>
      </c>
      <c r="C41" s="101" t="inlineStr">
        <is>
          <t>&gt;=25% of sample</t>
        </is>
      </c>
    </row>
    <row r="43" ht="15" customHeight="1" s="89">
      <c r="A43" s="97" t="inlineStr">
        <is>
          <t>F. QUICK LEAK % → $ (linked to Net Patient Revenue)</t>
        </is>
      </c>
    </row>
    <row r="44" ht="15" customHeight="1" s="89">
      <c r="A44" s="88" t="inlineStr">
        <is>
          <t>Net Patient Revenue</t>
        </is>
      </c>
      <c r="B44" s="120">
        <f>03_Financial_Inputs!B8</f>
        <v/>
      </c>
    </row>
    <row r="45" ht="15" customHeight="1" s="89">
      <c r="A45" s="88" t="inlineStr">
        <is>
          <t>4% Leak $</t>
        </is>
      </c>
      <c r="B45" s="121">
        <f>B44*0.04</f>
        <v/>
      </c>
    </row>
    <row r="46" ht="15" customHeight="1" s="89">
      <c r="A46" s="88" t="inlineStr">
        <is>
          <t>6% Leak $</t>
        </is>
      </c>
      <c r="B46" s="121">
        <f>B44*0.06</f>
        <v/>
      </c>
    </row>
    <row r="47" ht="15" customHeight="1" s="89">
      <c r="A47" s="88" t="inlineStr">
        <is>
          <t>8% Leak $</t>
        </is>
      </c>
      <c r="B47" s="121">
        <f>B44*0.08</f>
        <v/>
      </c>
    </row>
    <row r="48" ht="15" customHeight="1" s="89">
      <c r="A48" s="88" t="inlineStr">
        <is>
          <t>CMI-Gap Opportunity $ (from section C)</t>
        </is>
      </c>
      <c r="B48" s="121">
        <f>B24</f>
        <v/>
      </c>
      <c r="C48" s="101" t="inlineStr">
        <is>
          <t>Compare to leak band above</t>
        </is>
      </c>
    </row>
    <row r="50" ht="15" customHeight="1" s="89">
      <c r="A50" s="97" t="inlineStr">
        <is>
          <t>G. CASE MIX INDEX (CMI) CALCULATION — EXCEL FORMULAS</t>
        </is>
      </c>
    </row>
    <row r="51" ht="15" customHeight="1" s="89">
      <c r="A51" s="151" t="inlineStr">
        <is>
          <t>Method 1 — Simple Average (when you have a list of stay-level weights)</t>
        </is>
      </c>
    </row>
    <row r="52" ht="15" customHeight="1" s="89">
      <c r="A52" s="88" t="inlineStr">
        <is>
          <t>Excel formula:</t>
        </is>
      </c>
      <c r="B52" s="152" t="inlineStr">
        <is>
          <t>'=AVERAGE(weight_range)</t>
        </is>
      </c>
      <c r="C52" s="88" t="inlineStr">
        <is>
          <t>Example: =AVERAGE(H2:H101) where column H holds each stay's weight</t>
        </is>
      </c>
    </row>
    <row r="53" ht="15" customHeight="1" s="89">
      <c r="A53" s="88" t="inlineStr">
        <is>
          <t>Or with SUM:</t>
        </is>
      </c>
      <c r="B53" s="152" t="inlineStr">
        <is>
          <t>'=SUM(weight_range)/COUNTA(weight_range)</t>
        </is>
      </c>
      <c r="C53" s="88" t="inlineStr">
        <is>
          <t>Same result; use when you want explicit control</t>
        </is>
      </c>
    </row>
    <row r="55" ht="15" customHeight="1" s="89">
      <c r="A55" s="151" t="inlineStr">
        <is>
          <t>Method 2 — Component-Level CMI (PDPM style)</t>
        </is>
      </c>
    </row>
    <row r="56" ht="39" customHeight="1" s="89">
      <c r="A56" s="119" t="inlineStr">
        <is>
          <t>Component</t>
        </is>
      </c>
      <c r="B56" s="119" t="inlineStr">
        <is>
          <t>Sum of Weights</t>
        </is>
      </c>
      <c r="C56" s="119" t="inlineStr">
        <is>
          <t>Number of Stays</t>
        </is>
      </c>
      <c r="D56" s="119" t="inlineStr">
        <is>
          <t>Component CMI</t>
        </is>
      </c>
      <c r="E56" s="119" t="inlineStr">
        <is>
          <t>Excel Formula (example)</t>
        </is>
      </c>
    </row>
    <row r="57" ht="15" customHeight="1" s="89">
      <c r="A57" s="101" t="inlineStr">
        <is>
          <t>PT</t>
        </is>
      </c>
      <c r="B57" s="149" t="n">
        <v>0</v>
      </c>
      <c r="C57" s="102" t="n">
        <v>0</v>
      </c>
      <c r="D57" s="153">
        <f>IF(C57=0,"",B57/C57)</f>
        <v/>
      </c>
      <c r="E57" s="154" t="inlineStr">
        <is>
          <t>'=B57/C57</t>
        </is>
      </c>
    </row>
    <row r="58" ht="15" customHeight="1" s="89">
      <c r="A58" s="101" t="inlineStr">
        <is>
          <t>OT</t>
        </is>
      </c>
      <c r="B58" s="149" t="n">
        <v>0</v>
      </c>
      <c r="C58" s="102" t="n">
        <v>0</v>
      </c>
      <c r="D58" s="153">
        <f>IF(C58=0,"",B58/C58)</f>
        <v/>
      </c>
      <c r="E58" s="154" t="inlineStr">
        <is>
          <t>'=B58/C58</t>
        </is>
      </c>
    </row>
    <row r="59" ht="15" customHeight="1" s="89">
      <c r="A59" s="101" t="inlineStr">
        <is>
          <t>SLP</t>
        </is>
      </c>
      <c r="B59" s="149" t="n">
        <v>0</v>
      </c>
      <c r="C59" s="102" t="n">
        <v>0</v>
      </c>
      <c r="D59" s="153">
        <f>IF(C59=0,"",B59/C59)</f>
        <v/>
      </c>
      <c r="E59" s="154" t="inlineStr">
        <is>
          <t>'=B59/C59</t>
        </is>
      </c>
    </row>
    <row r="60" ht="15" customHeight="1" s="89">
      <c r="A60" s="101" t="inlineStr">
        <is>
          <t>Nursing</t>
        </is>
      </c>
      <c r="B60" s="149" t="n">
        <v>0</v>
      </c>
      <c r="C60" s="102" t="n">
        <v>0</v>
      </c>
      <c r="D60" s="153">
        <f>IF(C60=0,"",B60/C60)</f>
        <v/>
      </c>
      <c r="E60" s="154" t="inlineStr">
        <is>
          <t>'=B60/C60</t>
        </is>
      </c>
    </row>
    <row r="61" ht="15" customHeight="1" s="89">
      <c r="A61" s="101" t="inlineStr">
        <is>
          <t>NTA</t>
        </is>
      </c>
      <c r="B61" s="149" t="n">
        <v>0</v>
      </c>
      <c r="C61" s="102" t="n">
        <v>0</v>
      </c>
      <c r="D61" s="153">
        <f>IF(C61=0,"",B61/C61)</f>
        <v/>
      </c>
      <c r="E61" s="154" t="inlineStr">
        <is>
          <t>'=B61/C61</t>
        </is>
      </c>
    </row>
    <row r="63" ht="15" customHeight="1" s="89">
      <c r="A63" s="88" t="inlineStr">
        <is>
          <t>Overall / Combined CMI (simple average of component CMIs — illustrative)</t>
        </is>
      </c>
      <c r="B63" s="153">
        <f>IF(COUNT(D57:D61)=0,"",AVERAGE(D57:D61))</f>
        <v/>
      </c>
      <c r="C63" s="101" t="inlineStr">
        <is>
          <t>Or weight by days/revenue if preferred</t>
        </is>
      </c>
    </row>
    <row r="65" ht="15" customHeight="1" s="89">
      <c r="A65" s="151" t="inlineStr">
        <is>
          <t>Method 3 — From your observed vs neutral (already on this sheet)</t>
        </is>
      </c>
    </row>
    <row r="66" ht="15" customHeight="1" s="89">
      <c r="A66" s="88" t="inlineStr">
        <is>
          <t>Observed CMI (enter or link)</t>
        </is>
      </c>
      <c r="B66" s="106">
        <f>B11</f>
        <v/>
      </c>
    </row>
    <row r="67" ht="15" customHeight="1" s="89">
      <c r="A67" s="88" t="inlineStr">
        <is>
          <t>Neutral / Expected CMI</t>
        </is>
      </c>
      <c r="B67" s="106">
        <f>B10</f>
        <v/>
      </c>
    </row>
    <row r="68" ht="15" customHeight="1" s="89">
      <c r="A68" s="88" t="inlineStr">
        <is>
          <t>CMI Gap (pts)</t>
        </is>
      </c>
      <c r="B68" s="106">
        <f>B66-B67</f>
        <v/>
      </c>
    </row>
    <row r="69" ht="15" customHeight="1" s="89">
      <c r="A69" s="88" t="inlineStr">
        <is>
          <t>CMI Gap as % of Neutral</t>
        </is>
      </c>
      <c r="B69" s="105">
        <f>IF(B67=0,"", (B66-B67)/B67)</f>
        <v/>
      </c>
    </row>
    <row r="71" ht="15" customHeight="1" s="89">
      <c r="A71" s="97" t="inlineStr">
        <is>
          <t>CORE EXCEL FORMULAS SUMMARY</t>
        </is>
      </c>
    </row>
    <row r="72" ht="15" customHeight="1" s="89">
      <c r="A72" s="88" t="inlineStr">
        <is>
          <t>CMI (average of stay weights)</t>
        </is>
      </c>
      <c r="B72" s="155" t="inlineStr">
        <is>
          <t>'=AVERAGE(weight_list)</t>
        </is>
      </c>
    </row>
    <row r="73" ht="15" customHeight="1" s="89">
      <c r="A73" s="88" t="inlineStr">
        <is>
          <t>CMI (sum / count)</t>
        </is>
      </c>
      <c r="B73" s="155" t="inlineStr">
        <is>
          <t>'=SUM(weight_list)/COUNTA(weight_list)</t>
        </is>
      </c>
    </row>
    <row r="74" ht="15" customHeight="1" s="89">
      <c r="A74" s="88" t="inlineStr">
        <is>
          <t>Component CMI</t>
        </is>
      </c>
      <c r="B74" s="155" t="inlineStr">
        <is>
          <t>'=Sum_of_Component_Weights / Number_of_Stays</t>
        </is>
      </c>
    </row>
    <row r="75" ht="15" customHeight="1" s="89">
      <c r="A75" s="88" t="inlineStr">
        <is>
          <t>CMI Gap (pts)</t>
        </is>
      </c>
      <c r="B75" s="155" t="inlineStr">
        <is>
          <t>'=Observed_CMI - Neutral_CMI</t>
        </is>
      </c>
    </row>
    <row r="76" ht="15" customHeight="1" s="89">
      <c r="A76" s="88" t="inlineStr">
        <is>
          <t>CMI Gap %</t>
        </is>
      </c>
      <c r="B76" s="155" t="inlineStr">
        <is>
          <t>'=(Observed_CMI - Neutral_CMI) / Neutral_CMI</t>
        </is>
      </c>
    </row>
    <row r="78" ht="15" customHeight="1" s="89">
      <c r="A78" s="123" t="inlineStr">
        <is>
          <t>Notes: Relative weights come from the current CMS PDPM rate tables (published annually). Each stay’s group (e.g., Nursing group ‘ES3’, PT group ‘TA’) maps to a published weight. Average those weights across the Medicare Part A stays in the period.</t>
        </is>
      </c>
    </row>
    <row r="79" ht="15" customHeight="1" s="89"/>
    <row r="80" ht="15" customHeight="1" s="89"/>
  </sheetData>
  <mergeCells count="16">
    <mergeCell ref="C52:F52"/>
    <mergeCell ref="A37:D37"/>
    <mergeCell ref="C53:F53"/>
    <mergeCell ref="A5:D5"/>
    <mergeCell ref="A51:F51"/>
    <mergeCell ref="A26:E26"/>
    <mergeCell ref="A71:F71"/>
    <mergeCell ref="A1:F1"/>
    <mergeCell ref="A20:D20"/>
    <mergeCell ref="A78:F80"/>
    <mergeCell ref="A14:D14"/>
    <mergeCell ref="A43:D43"/>
    <mergeCell ref="A50:F50"/>
    <mergeCell ref="A3:F3"/>
    <mergeCell ref="A55:F55"/>
    <mergeCell ref="A65:F65"/>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3.xml><?xml version="1.0" encoding="utf-8"?>
<worksheet xmlns="http://schemas.openxmlformats.org/spreadsheetml/2006/main">
  <sheetPr filterMode="0">
    <outlinePr summaryBelow="1" summaryRight="1"/>
    <pageSetUpPr fitToPage="0"/>
  </sheetPr>
  <dimension ref="A1:H59"/>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50" customWidth="1" style="88" min="1" max="1"/>
    <col width="14" customWidth="1" style="88" min="2" max="4"/>
    <col width="10" customWidth="1" style="88" min="5" max="5"/>
    <col width="12" customWidth="1" style="88" min="6" max="6"/>
  </cols>
  <sheetData>
    <row r="1" ht="19.5" customHeight="1" s="89">
      <c r="A1" s="147" t="inlineStr">
        <is>
          <t>MONTE CARLO SIMULATION — DSCR &amp; MARGIN RISK</t>
        </is>
      </c>
    </row>
    <row r="3" ht="15" customHeight="1" s="89">
      <c r="A3" s="148" t="inlineStr">
        <is>
          <t>Define distributions for key drivers. Illustrative 1,000-trial results for the demo facility are shown. Re-run with Python or an Excel MC add-in for live data.</t>
        </is>
      </c>
    </row>
    <row r="5" ht="15" customHeight="1" s="89">
      <c r="A5" s="97" t="inlineStr">
        <is>
          <t>A. BASE CASE (linked)</t>
        </is>
      </c>
    </row>
    <row r="6" ht="15" customHeight="1" s="89">
      <c r="A6" s="88" t="inlineStr">
        <is>
          <t>Base Revenue</t>
        </is>
      </c>
      <c r="B6" s="120">
        <f>03_Financial_Inputs!B7</f>
        <v/>
      </c>
    </row>
    <row r="7" ht="15" customHeight="1" s="89">
      <c r="A7" s="88" t="inlineStr">
        <is>
          <t>Base EBITDA</t>
        </is>
      </c>
      <c r="B7" s="120">
        <f>03_Financial_Inputs!B21</f>
        <v/>
      </c>
    </row>
    <row r="8" ht="15" customHeight="1" s="89">
      <c r="A8" s="88" t="inlineStr">
        <is>
          <t>Base Debt Service</t>
        </is>
      </c>
      <c r="B8" s="120">
        <f>03_Financial_Inputs!B32</f>
        <v/>
      </c>
    </row>
    <row r="9" ht="15" customHeight="1" s="89">
      <c r="A9" s="88" t="inlineStr">
        <is>
          <t>Base DSCR</t>
        </is>
      </c>
      <c r="B9" s="106">
        <f>IF(B8=0,"",B7/B8)</f>
        <v/>
      </c>
    </row>
    <row r="11" ht="15" customHeight="1" s="89">
      <c r="A11" s="97" t="inlineStr">
        <is>
          <t>B. RISK DRIVER DISTRIBUTIONS (edit yellow cells)</t>
        </is>
      </c>
    </row>
    <row r="12" ht="26.25" customHeight="1" s="89">
      <c r="A12" s="119" t="inlineStr">
        <is>
          <t>Driver</t>
        </is>
      </c>
      <c r="B12" s="119" t="inlineStr">
        <is>
          <t>Distribution</t>
        </is>
      </c>
      <c r="C12" s="119" t="inlineStr">
        <is>
          <t>Mean / Mode</t>
        </is>
      </c>
      <c r="D12" s="119" t="inlineStr">
        <is>
          <t>Std Dev or Range</t>
        </is>
      </c>
      <c r="E12" s="119" t="inlineStr">
        <is>
          <t>Min</t>
        </is>
      </c>
      <c r="F12" s="119" t="inlineStr">
        <is>
          <t>Max</t>
        </is>
      </c>
    </row>
    <row r="13" ht="15" customHeight="1" s="89">
      <c r="A13" s="101" t="inlineStr">
        <is>
          <t>Revenue shock (% of base)</t>
        </is>
      </c>
      <c r="B13" s="102" t="inlineStr">
        <is>
          <t>Normal</t>
        </is>
      </c>
      <c r="C13" s="116" t="n">
        <v>0</v>
      </c>
      <c r="D13" s="116" t="n">
        <v>0.04</v>
      </c>
      <c r="E13" s="116" t="n">
        <v>-0.12</v>
      </c>
      <c r="F13" s="116" t="n">
        <v>0.08</v>
      </c>
    </row>
    <row r="14" ht="15" customHeight="1" s="89">
      <c r="A14" s="101" t="inlineStr">
        <is>
          <t>Occupancy impact on rev (% pts)</t>
        </is>
      </c>
      <c r="B14" s="102" t="inlineStr">
        <is>
          <t>Normal</t>
        </is>
      </c>
      <c r="C14" s="116" t="n">
        <v>0</v>
      </c>
      <c r="D14" s="116" t="n">
        <v>0.03</v>
      </c>
      <c r="E14" s="116" t="n">
        <v>-0.1</v>
      </c>
      <c r="F14" s="116" t="n">
        <v>0.05</v>
      </c>
    </row>
    <row r="15" ht="15" customHeight="1" s="89">
      <c r="A15" s="101" t="inlineStr">
        <is>
          <t>Labor / Agency cost shock (% of rev)</t>
        </is>
      </c>
      <c r="B15" s="102" t="inlineStr">
        <is>
          <t>Normal</t>
        </is>
      </c>
      <c r="C15" s="116" t="n">
        <v>0</v>
      </c>
      <c r="D15" s="116" t="n">
        <v>0.025</v>
      </c>
      <c r="E15" s="116" t="n">
        <v>-0.02</v>
      </c>
      <c r="F15" s="116" t="n">
        <v>0.08</v>
      </c>
    </row>
    <row r="16" ht="15" customHeight="1" s="89">
      <c r="A16" s="101" t="inlineStr">
        <is>
          <t>Medicaid rate change (%)</t>
        </is>
      </c>
      <c r="B16" s="102" t="inlineStr">
        <is>
          <t>Triangular</t>
        </is>
      </c>
      <c r="C16" s="116" t="n">
        <v>-0.02</v>
      </c>
      <c r="D16" s="116" t="n">
        <v>0.03</v>
      </c>
      <c r="E16" s="116" t="n">
        <v>-0.1</v>
      </c>
      <c r="F16" s="116" t="n">
        <v>0.03</v>
      </c>
    </row>
    <row r="17" ht="15" customHeight="1" s="89">
      <c r="A17" s="101" t="inlineStr">
        <is>
          <t>Other OpEx shock (% of rev)</t>
        </is>
      </c>
      <c r="B17" s="102" t="inlineStr">
        <is>
          <t>Normal</t>
        </is>
      </c>
      <c r="C17" s="116" t="n">
        <v>0</v>
      </c>
      <c r="D17" s="116" t="n">
        <v>0.015</v>
      </c>
      <c r="E17" s="116" t="n">
        <v>-0.03</v>
      </c>
      <c r="F17" s="116" t="n">
        <v>0.04</v>
      </c>
    </row>
    <row r="19" ht="15" customHeight="1" s="89">
      <c r="A19" s="97" t="inlineStr">
        <is>
          <t>C. SIMULATION CONTROLS</t>
        </is>
      </c>
    </row>
    <row r="20" ht="15" customHeight="1" s="89">
      <c r="A20" s="88" t="inlineStr">
        <is>
          <t>Number of Trials</t>
        </is>
      </c>
      <c r="B20" s="102" t="n">
        <v>1000</v>
      </c>
      <c r="C20" s="101" t="inlineStr">
        <is>
          <t>500-2000 recommended</t>
        </is>
      </c>
    </row>
    <row r="21" ht="15" customHeight="1" s="89">
      <c r="A21" s="88" t="inlineStr">
        <is>
          <t>Covenant DSCR Floor</t>
        </is>
      </c>
      <c r="B21" s="149" t="n">
        <v>1.2</v>
      </c>
      <c r="C21" s="101" t="inlineStr">
        <is>
          <t>Common lender floor</t>
        </is>
      </c>
    </row>
    <row r="22" ht="15" customHeight="1" s="89">
      <c r="A22" s="88" t="inlineStr">
        <is>
          <t>Random Seed (for reproducibility)</t>
        </is>
      </c>
      <c r="B22" s="102" t="n">
        <v>42</v>
      </c>
      <c r="C22" s="101" t="inlineStr">
        <is>
          <t>Change to re-run with different draws</t>
        </is>
      </c>
    </row>
    <row r="24" ht="15" customHeight="1" s="89">
      <c r="A24" s="97" t="inlineStr">
        <is>
          <t>D. ILLUSTRATIVE RESULTS (Sample Facility, 1,000 trials)</t>
        </is>
      </c>
    </row>
    <row r="25" ht="15" customHeight="1" s="89">
      <c r="A25" s="119" t="inlineStr">
        <is>
          <t>Statistic</t>
        </is>
      </c>
      <c r="B25" s="119" t="inlineStr">
        <is>
          <t>DSCR</t>
        </is>
      </c>
      <c r="C25" s="119" t="inlineStr">
        <is>
          <t>EBITDA ($)</t>
        </is>
      </c>
      <c r="D25" s="119" t="inlineStr">
        <is>
          <t>Notes</t>
        </is>
      </c>
    </row>
    <row r="26" ht="15" customHeight="1" s="89">
      <c r="A26" s="101" t="inlineStr">
        <is>
          <t>Mean</t>
        </is>
      </c>
      <c r="B26" s="135" t="n">
        <v>1.52</v>
      </c>
      <c r="C26" s="146" t="n">
        <v>1490000</v>
      </c>
      <c r="D26" s="101" t="inlineStr">
        <is>
          <t>Average outcome</t>
        </is>
      </c>
    </row>
    <row r="27" ht="15" customHeight="1" s="89">
      <c r="A27" s="101" t="inlineStr">
        <is>
          <t>Median</t>
        </is>
      </c>
      <c r="B27" s="135" t="n">
        <v>1.54</v>
      </c>
      <c r="C27" s="146" t="n">
        <v>1510000</v>
      </c>
      <c r="D27" s="101" t="inlineStr">
        <is>
          <t>50th percentile</t>
        </is>
      </c>
    </row>
    <row r="28" ht="15" customHeight="1" s="89">
      <c r="A28" s="101" t="inlineStr">
        <is>
          <t>5th Percentile (worst)</t>
        </is>
      </c>
      <c r="B28" s="135" t="n">
        <v>1.05</v>
      </c>
      <c r="C28" s="146" t="n">
        <v>1030000</v>
      </c>
      <c r="D28" s="101" t="inlineStr">
        <is>
          <t>Tail risk</t>
        </is>
      </c>
    </row>
    <row r="29" ht="15" customHeight="1" s="89">
      <c r="A29" s="101" t="inlineStr">
        <is>
          <t>10th Percentile</t>
        </is>
      </c>
      <c r="B29" s="135" t="n">
        <v>1.18</v>
      </c>
      <c r="C29" s="146" t="n">
        <v>1160000</v>
      </c>
      <c r="D29" s="101" t="inlineStr">
        <is>
          <t>Near covenant</t>
        </is>
      </c>
    </row>
    <row r="30" ht="15" customHeight="1" s="89">
      <c r="A30" s="101" t="inlineStr">
        <is>
          <t>25th Percentile</t>
        </is>
      </c>
      <c r="B30" s="135" t="n">
        <v>1.35</v>
      </c>
      <c r="C30" s="146" t="n">
        <v>1320000</v>
      </c>
      <c r="D30" s="101" t="n"/>
    </row>
    <row r="31" ht="15" customHeight="1" s="89">
      <c r="A31" s="101" t="inlineStr">
        <is>
          <t>75th Percentile</t>
        </is>
      </c>
      <c r="B31" s="135" t="n">
        <v>1.68</v>
      </c>
      <c r="C31" s="146" t="n">
        <v>1650000</v>
      </c>
      <c r="D31" s="101" t="n"/>
    </row>
    <row r="32" ht="15" customHeight="1" s="89">
      <c r="A32" s="101" t="inlineStr">
        <is>
          <t>95th Percentile (best)</t>
        </is>
      </c>
      <c r="B32" s="135" t="n">
        <v>1.95</v>
      </c>
      <c r="C32" s="146" t="n">
        <v>1910000</v>
      </c>
      <c r="D32" s="101" t="n"/>
    </row>
    <row r="33" ht="15" customHeight="1" s="89">
      <c r="A33" s="101" t="inlineStr">
        <is>
          <t>Std Deviation</t>
        </is>
      </c>
      <c r="B33" s="135" t="n">
        <v>0.22</v>
      </c>
      <c r="C33" s="146" t="n">
        <v>215000</v>
      </c>
      <c r="D33" s="101" t="inlineStr">
        <is>
          <t>Volatility</t>
        </is>
      </c>
    </row>
    <row r="35" ht="15" customHeight="1" s="89">
      <c r="A35" s="88" t="inlineStr">
        <is>
          <t>Probability DSCR &lt; 1.20x (covenant breach)</t>
        </is>
      </c>
      <c r="B35" s="156" t="n">
        <v>0.11</v>
      </c>
      <c r="C35" s="101" t="inlineStr">
        <is>
          <t>Illustrative - re-run for live data</t>
        </is>
      </c>
    </row>
    <row r="36" ht="15" customHeight="1" s="89">
      <c r="A36" s="88" t="inlineStr">
        <is>
          <t>Probability DSCR &lt; 1.00x (cash-flow negative for debt)</t>
        </is>
      </c>
      <c r="B36" s="157" t="n">
        <v>0.04</v>
      </c>
    </row>
    <row r="38" ht="15" customHeight="1" s="89">
      <c r="A38" s="97" t="inlineStr">
        <is>
          <t>E. HOW TO RE-RUN WITH YOUR DATA</t>
        </is>
      </c>
    </row>
    <row r="39" ht="15" customHeight="1" s="89">
      <c r="A39" s="88" t="inlineStr">
        <is>
          <t>Option 1 - Python: Draw each driver from its distribution, compute stressed EBITDA = Base EBITDA + Rev*(rev shocks) - Rev*(cost shocks), DSCR = stressed EBITDA / Debt Service. Aggregate &gt;=1,000 trials.</t>
        </is>
      </c>
    </row>
    <row r="40" ht="15" customHeight="1" s="89"/>
    <row r="41" ht="15" customHeight="1" s="89">
      <c r="A41" s="88" t="inlineStr">
        <is>
          <t>Option 2 - Excel add-in (@Risk, Crystal Ball, ModelRisk) can read the yellow distribution cells directly.</t>
        </is>
      </c>
    </row>
    <row r="42" ht="15" customHeight="1" s="89">
      <c r="A42" s="88" t="inlineStr">
        <is>
          <t>Option 3 - Use sheet 08 deterministic stresses for reports; use this sheet for probabilistic language.</t>
        </is>
      </c>
    </row>
    <row r="44" ht="15" customHeight="1" s="89">
      <c r="A44" s="92" t="inlineStr">
        <is>
          <t>INTERPRETATION FOR LENDERS / PE</t>
        </is>
      </c>
    </row>
    <row r="45" ht="15" customHeight="1" s="89">
      <c r="A45" s="88" t="inlineStr">
        <is>
          <t>A facility with ~10% probability of DSCR &lt; 1.20x under plausible shocks is typically moderate credit risk if mean DSCR stays above 1.40x and liquidity is adequate. Tail risk (5th percentile) below 1.0x warrants reserves, stronger covenants, or operator support.</t>
        </is>
      </c>
    </row>
    <row r="46" ht="15" customHeight="1" s="89"/>
    <row r="47">
      <c r="A47" t="inlineStr">
        <is>
          <t>F. STRESS TEST READING (DEMO FACILITY)</t>
        </is>
      </c>
    </row>
    <row r="48">
      <c r="A48" t="inlineStr">
        <is>
          <t>Central tendency healthy: mean/median DSCR 1.52–1.54x vs base 1.58x.</t>
        </is>
      </c>
    </row>
    <row r="49">
      <c r="A49" t="inlineStr">
        <is>
          <t>Left tail matters: 10th pct 1.18x (near 1.20 floor); 5th pct 1.05x (thin coverage).</t>
        </is>
      </c>
    </row>
    <row r="50">
      <c r="A50" t="inlineStr">
        <is>
          <t>P(DSCR &lt; 1.20x) ≈ 11% (~1 in 9 years); P(DSCR &lt; 1.00x) ≈ 4% (~1 in 25 years).</t>
        </is>
      </c>
    </row>
    <row r="51">
      <c r="A51" t="inlineStr">
        <is>
          <t>Largest drivers: revenue/occupancy and labor/agency; Medicaid rate cuts bite hard (~52% of revenue).</t>
        </is>
      </c>
    </row>
    <row r="52">
      <c r="A52" t="inlineStr">
        <is>
          <t>Documentation upside ($620k) is the clearest internal lever to shift the DSCR curve up.</t>
        </is>
      </c>
    </row>
    <row r="53">
      <c r="A53" t="inlineStr">
        <is>
          <t>Bottom line: not fragile in base case, but exposed in the left tail — supports Moderate risk / mid-range multiple.</t>
        </is>
      </c>
    </row>
    <row r="54">
      <c r="A54" t="inlineStr">
        <is>
          <t>Full narrative: /lender-intelligence/#monte-carlo</t>
        </is>
      </c>
    </row>
    <row r="55"/>
    <row r="56"/>
    <row r="57"/>
    <row r="58"/>
    <row r="59"/>
  </sheetData>
  <mergeCells count="9">
    <mergeCell ref="A38:F38"/>
    <mergeCell ref="A45:F46"/>
    <mergeCell ref="A11:F11"/>
    <mergeCell ref="A3:H3"/>
    <mergeCell ref="A19:C19"/>
    <mergeCell ref="A5:C5"/>
    <mergeCell ref="A24:D24"/>
    <mergeCell ref="A1:H1"/>
    <mergeCell ref="A39:F40"/>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4.xml><?xml version="1.0" encoding="utf-8"?>
<worksheet xmlns="http://schemas.openxmlformats.org/spreadsheetml/2006/main">
  <sheetPr filterMode="0">
    <outlinePr summaryBelow="1" summaryRight="1"/>
    <pageSetUpPr fitToPage="0"/>
  </sheetPr>
  <dimension ref="A1:G52"/>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52" customWidth="1" style="88" min="1" max="1"/>
    <col width="18" customWidth="1" style="88" min="2" max="2"/>
    <col width="22" customWidth="1" style="88" min="3" max="3"/>
    <col width="14" customWidth="1" style="88" min="4" max="5"/>
    <col width="16" customWidth="1" style="88" min="6" max="6"/>
  </cols>
  <sheetData>
    <row r="1" ht="19.5" customHeight="1" s="89">
      <c r="A1" s="147" t="inlineStr">
        <is>
          <t>SURVEY &amp; AUDIT PROBABILITY MODEL (Next 12 Months)</t>
        </is>
      </c>
    </row>
    <row r="3" ht="15" customHeight="1" s="89">
      <c r="A3" s="148" t="inlineStr">
        <is>
          <t>Transparent, additive risk-score model that estimates the probability of a standard/complaint state survey or Medicare audit (medical review, UPIC, RAC, or SMRC) in the next 12 months. Calibrated to known predictors: prior deficiencies, staffing, quality outcomes, and documentation risk.</t>
        </is>
      </c>
    </row>
    <row r="4" ht="15" customHeight="1" s="89"/>
    <row r="6" ht="15" customHeight="1" s="89">
      <c r="A6" s="97" t="inlineStr">
        <is>
          <t>A. BASE RATE (industry starting point)</t>
        </is>
      </c>
    </row>
    <row r="7" ht="15" customHeight="1" s="89">
      <c r="A7" s="119" t="inlineStr">
        <is>
          <t>Metric</t>
        </is>
      </c>
      <c r="B7" s="119" t="inlineStr">
        <is>
          <t>Value</t>
        </is>
      </c>
      <c r="C7" s="119" t="inlineStr">
        <is>
          <t>Notes</t>
        </is>
      </c>
    </row>
    <row r="8" ht="15" customHeight="1" s="89">
      <c r="A8" s="88" t="inlineStr">
        <is>
          <t>Base annual probability of standard survey (approx)</t>
        </is>
      </c>
      <c r="B8" s="158" t="n">
        <v>0.33</v>
      </c>
      <c r="C8" s="101" t="inlineStr">
        <is>
          <t>Most SNFs are surveyed ~every 12-15 months; use 30-40% as annualized base</t>
        </is>
      </c>
    </row>
    <row r="9" ht="15" customHeight="1" s="89">
      <c r="A9" s="88" t="inlineStr">
        <is>
          <t>Base annual probability of complaint survey</t>
        </is>
      </c>
      <c r="B9" s="158" t="n">
        <v>0.18</v>
      </c>
      <c r="C9" s="101" t="inlineStr">
        <is>
          <t>Varies by state; 15-25% typical</t>
        </is>
      </c>
    </row>
    <row r="10" ht="15" customHeight="1" s="89">
      <c r="A10" s="88" t="inlineStr">
        <is>
          <t>Base annual probability of Medicare audit / medical review</t>
        </is>
      </c>
      <c r="B10" s="158" t="n">
        <v>0.08</v>
      </c>
      <c r="C10" s="101" t="inlineStr">
        <is>
          <t>UPIC/RAC/SMRC/targeted probe; higher for outliers</t>
        </is>
      </c>
    </row>
    <row r="12" ht="15" customHeight="1" s="89">
      <c r="A12" s="97" t="inlineStr">
        <is>
          <t>B. RISK MULTIPLIERS (from workbook data)</t>
        </is>
      </c>
    </row>
    <row r="13" ht="15" customHeight="1" s="89">
      <c r="A13" s="119" t="inlineStr">
        <is>
          <t>Risk Factor</t>
        </is>
      </c>
      <c r="B13" s="119" t="inlineStr">
        <is>
          <t>Input / Link</t>
        </is>
      </c>
      <c r="C13" s="119" t="inlineStr">
        <is>
          <t>Threshold Logic</t>
        </is>
      </c>
      <c r="D13" s="119" t="inlineStr">
        <is>
          <t>Multiplier</t>
        </is>
      </c>
      <c r="E13" s="119" t="inlineStr">
        <is>
          <t>Points Added</t>
        </is>
      </c>
      <c r="F13" s="119" t="inlineStr">
        <is>
          <t>Source</t>
        </is>
      </c>
    </row>
    <row r="14" ht="15" customHeight="1" s="89">
      <c r="A14" s="101" t="inlineStr">
        <is>
          <t>Immediate Jeopardy in last 3 years</t>
        </is>
      </c>
      <c r="B14" s="137">
        <f>05_Staffing_Quality!B31</f>
        <v/>
      </c>
      <c r="C14" s="101" t="inlineStr">
        <is>
          <t>Any IJ &gt; 0</t>
        </is>
      </c>
      <c r="D14" s="106">
        <f>IF(B14&gt;0,1.8,1)</f>
        <v/>
      </c>
      <c r="E14" s="159">
        <f>IF(B14&gt;0,25,0)</f>
        <v/>
      </c>
      <c r="F14" s="101" t="inlineStr">
        <is>
          <t>Survey history</t>
        </is>
      </c>
    </row>
    <row r="15" ht="15" customHeight="1" s="89">
      <c r="A15" s="101" t="inlineStr">
        <is>
          <t>G-level or higher tags (recent cycle)</t>
        </is>
      </c>
      <c r="B15" s="137">
        <f>05_Staffing_Quality!B32</f>
        <v/>
      </c>
      <c r="C15" s="101" t="inlineStr">
        <is>
          <t>Count &gt;= 2</t>
        </is>
      </c>
      <c r="D15" s="106">
        <f>IF(B15&gt;=2,1.4,1)</f>
        <v/>
      </c>
      <c r="E15" s="159">
        <f>IF(B15&gt;=2,12,IF(B15&gt;=1,6,0))</f>
        <v/>
      </c>
      <c r="F15" s="101" t="inlineStr">
        <is>
          <t>Survey history</t>
        </is>
      </c>
    </row>
    <row r="16" ht="15" customHeight="1" s="89">
      <c r="A16" s="101" t="inlineStr">
        <is>
          <t>Total health deficiencies (recent)</t>
        </is>
      </c>
      <c r="B16" s="137">
        <f>05_Staffing_Quality!B30</f>
        <v/>
      </c>
      <c r="C16" s="101" t="inlineStr">
        <is>
          <t>Count &gt;= 8</t>
        </is>
      </c>
      <c r="D16" s="106">
        <f>IF(B16&gt;=10,1.35,IF(B16&gt;=8,1.2,1))</f>
        <v/>
      </c>
      <c r="E16" s="159">
        <f>IF(B16&gt;=10,10,IF(B16&gt;=8,8,IF(B16&gt;=5,4,0)))</f>
        <v/>
      </c>
      <c r="F16" s="101" t="inlineStr">
        <is>
          <t>Survey history</t>
        </is>
      </c>
    </row>
    <row r="17" ht="15" customHeight="1" s="89">
      <c r="A17" s="101" t="inlineStr">
        <is>
          <t>Infection Control (F880) citation</t>
        </is>
      </c>
      <c r="B17" s="137">
        <f>05_Staffing_Quality!B33</f>
        <v/>
      </c>
      <c r="C17" s="101" t="inlineStr">
        <is>
          <t>Any &gt; 0</t>
        </is>
      </c>
      <c r="D17" s="106">
        <f>IF(B17&gt;0,1.25,1)</f>
        <v/>
      </c>
      <c r="E17" s="159">
        <f>IF(B17&gt;0,6,0)</f>
        <v/>
      </c>
      <c r="F17" s="101" t="inlineStr">
        <is>
          <t>Survey history</t>
        </is>
      </c>
    </row>
    <row r="18" ht="15" customHeight="1" s="89">
      <c r="A18" s="101" t="inlineStr">
        <is>
          <t>Overall Star Rating</t>
        </is>
      </c>
      <c r="B18" s="137">
        <f>05_Staffing_Quality!B17</f>
        <v/>
      </c>
      <c r="C18" s="101" t="inlineStr">
        <is>
          <t>1-star = high, 5-star = low</t>
        </is>
      </c>
      <c r="D18" s="106">
        <f>IF(B18&lt;=1,1.5,IF(B18=2,1.25,IF(B18&gt;=4,0.85,1)))</f>
        <v/>
      </c>
      <c r="E18" s="159">
        <f>IF(B18&lt;=1,15,IF(B18=2,8,IF(B18&gt;=4,-5,0)))</f>
        <v/>
      </c>
      <c r="F18" s="101" t="inlineStr">
        <is>
          <t>Care Compare</t>
        </is>
      </c>
    </row>
    <row r="19" ht="15" customHeight="1" s="89">
      <c r="A19" s="101" t="inlineStr">
        <is>
          <t>Staffing Star Rating</t>
        </is>
      </c>
      <c r="B19" s="137">
        <f>05_Staffing_Quality!B13</f>
        <v/>
      </c>
      <c r="C19" s="101" t="inlineStr">
        <is>
          <t>1-star elevates</t>
        </is>
      </c>
      <c r="D19" s="106">
        <f>IF(B19&lt;=1,1.35,IF(B19&gt;=4,0.9,1))</f>
        <v/>
      </c>
      <c r="E19" s="159">
        <f>IF(B19&lt;=1,10,IF(B19&gt;=4,-3,0))</f>
        <v/>
      </c>
      <c r="F19" s="101" t="inlineStr">
        <is>
          <t>Care Compare</t>
        </is>
      </c>
    </row>
    <row r="20" ht="15" customHeight="1" s="89">
      <c r="A20" s="101" t="inlineStr">
        <is>
          <t>Agency Labor % of Nursing Hours</t>
        </is>
      </c>
      <c r="B20" s="136">
        <f>05_Staffing_Quality!B11</f>
        <v/>
      </c>
      <c r="C20" s="101" t="inlineStr">
        <is>
          <t>&gt;= 20%</t>
        </is>
      </c>
      <c r="D20" s="106">
        <f>IF(B20&gt;=0.25,1.4,IF(B20&gt;=0.2,1.2,1))</f>
        <v/>
      </c>
      <c r="E20" s="159">
        <f>IF(B20&gt;=0.25,12,IF(B20&gt;=0.2,10,0))</f>
        <v/>
      </c>
      <c r="F20" s="101" t="inlineStr">
        <is>
          <t>PBJ</t>
        </is>
      </c>
    </row>
    <row r="21" ht="15" customHeight="1" s="89">
      <c r="A21" s="101" t="inlineStr">
        <is>
          <t>Total Nursing Turnover %</t>
        </is>
      </c>
      <c r="B21" s="136">
        <f>05_Staffing_Quality!B9</f>
        <v/>
      </c>
      <c r="C21" s="101" t="inlineStr">
        <is>
          <t>&gt;= 50%</t>
        </is>
      </c>
      <c r="D21" s="106">
        <f>IF(B21&gt;=0.6,1.3,IF(B21&gt;=0.5,1.15,1))</f>
        <v/>
      </c>
      <c r="E21" s="159">
        <f>IF(B21&gt;=0.6,10,IF(B21&gt;=0.5,8,0))</f>
        <v/>
      </c>
      <c r="F21" s="101" t="inlineStr">
        <is>
          <t>PBJ / VBP</t>
        </is>
      </c>
    </row>
    <row r="22" ht="15" customHeight="1" s="89">
      <c r="A22" s="101" t="inlineStr">
        <is>
          <t>Documentation Risk Score (0-100)</t>
        </is>
      </c>
      <c r="B22" s="137">
        <f>06_Documentation_Risk!B26</f>
        <v/>
      </c>
      <c r="C22" s="101" t="inlineStr">
        <is>
          <t>&gt;= 50</t>
        </is>
      </c>
      <c r="D22" s="106">
        <f>IF(B22&gt;=60,1.35,IF(B22&gt;=50,1.2,1))</f>
        <v/>
      </c>
      <c r="E22" s="159">
        <f>IF(B22&gt;=60,15,IF(B22&gt;=50,12,IF(B22&gt;=40,5,0)))</f>
        <v/>
      </c>
      <c r="F22" s="101" t="inlineStr">
        <is>
          <t>RevOptix1 layer</t>
        </is>
      </c>
    </row>
    <row r="23" ht="15" customHeight="1" s="89">
      <c r="A23" s="101" t="inlineStr">
        <is>
          <t>Revenue Opportunity Score (high capture risk)</t>
        </is>
      </c>
      <c r="B23" s="137">
        <f>06_Documentation_Risk!B25</f>
        <v/>
      </c>
      <c r="C23" s="101" t="inlineStr">
        <is>
          <t>&gt;= 70 (more scrutiny)</t>
        </is>
      </c>
      <c r="D23" s="106">
        <f>IF(B23&gt;=70,1.15,1)</f>
        <v/>
      </c>
      <c r="E23" s="159">
        <f>IF(B23&gt;=70,6,0)</f>
        <v/>
      </c>
      <c r="F23" s="101" t="inlineStr">
        <is>
          <t>RevOptix1 layer</t>
        </is>
      </c>
    </row>
    <row r="24" ht="15" customHeight="1" s="89">
      <c r="A24" s="101" t="inlineStr">
        <is>
          <t>CMI Gap vs Neutral (under-capture)</t>
        </is>
      </c>
      <c r="B24" s="134">
        <f>12_CaseMix_PDPM!B16</f>
        <v/>
      </c>
      <c r="C24" s="101" t="inlineStr">
        <is>
          <t>Gap &lt;= -0.08</t>
        </is>
      </c>
      <c r="D24" s="106">
        <f>IF(B24&lt;=-0.1,1.2,IF(B24&lt;=-0.08,1.1,1))</f>
        <v/>
      </c>
      <c r="E24" s="159">
        <f>IF(B24&lt;=-0.1,8,IF(B24&lt;=-0.08,5,0))</f>
        <v/>
      </c>
      <c r="F24" s="101" t="inlineStr">
        <is>
          <t>Case-mix</t>
        </is>
      </c>
    </row>
    <row r="26" ht="15" customHeight="1" s="89">
      <c r="A26" s="97" t="inlineStr">
        <is>
          <t>C. TOTAL RISK POINTS &amp; PROBABILITY UPLIFT</t>
        </is>
      </c>
    </row>
    <row r="27" ht="15" customHeight="1" s="89">
      <c r="A27" s="88" t="inlineStr">
        <is>
          <t>Total Risk Points</t>
        </is>
      </c>
      <c r="B27" s="160">
        <f>SUM(E14:E24)</f>
        <v/>
      </c>
    </row>
    <row r="28" ht="15" customHeight="1" s="89">
      <c r="A28" s="88" t="inlineStr">
        <is>
          <t>Probability Uplift Factor (from points)</t>
        </is>
      </c>
      <c r="B28" s="106">
        <f>1 + (B27/100)</f>
        <v/>
      </c>
      <c r="C28" s="101" t="inlineStr">
        <is>
          <t>Every 10 points ≈ +10% relative increase in base probability</t>
        </is>
      </c>
    </row>
    <row r="30" ht="15" customHeight="1" s="89">
      <c r="A30" s="97" t="inlineStr">
        <is>
          <t>D. ESTIMATED 12-MONTH PROBABILITIES</t>
        </is>
      </c>
    </row>
    <row r="31" ht="15" customHeight="1" s="89">
      <c r="A31" s="119" t="inlineStr">
        <is>
          <t>Event</t>
        </is>
      </c>
      <c r="B31" s="119" t="inlineStr">
        <is>
          <t>Base Rate</t>
        </is>
      </c>
      <c r="C31" s="119" t="inlineStr">
        <is>
          <t>Adjusted Probability</t>
        </is>
      </c>
      <c r="D31" s="119" t="inlineStr">
        <is>
          <t>Risk Band</t>
        </is>
      </c>
      <c r="E31" s="119" t="inlineStr">
        <is>
          <t>Interpretation</t>
        </is>
      </c>
    </row>
    <row r="32" ht="15" customHeight="1" s="89">
      <c r="A32" s="88" t="inlineStr">
        <is>
          <t>Standard State Survey (next 12 mo)</t>
        </is>
      </c>
      <c r="B32" s="161">
        <f>B8</f>
        <v/>
      </c>
      <c r="C32" s="105">
        <f>MIN(0.95, B8*B28)</f>
        <v/>
      </c>
      <c r="D32" s="126">
        <f>IF(C32&gt;=0.6,"HIGH",IF(C32&gt;=0.4,"ELEVATED","BASELINE"))</f>
        <v/>
      </c>
      <c r="E32" s="101" t="inlineStr">
        <is>
          <t>Annualized chance of standard survey</t>
        </is>
      </c>
    </row>
    <row r="33" ht="15" customHeight="1" s="89">
      <c r="A33" s="88" t="inlineStr">
        <is>
          <t>Complaint Survey (next 12 mo)</t>
        </is>
      </c>
      <c r="B33" s="161">
        <f>B9</f>
        <v/>
      </c>
      <c r="C33" s="105">
        <f>MIN(0.85, B9*B28)</f>
        <v/>
      </c>
      <c r="D33" s="126">
        <f>IF(C33&gt;=0.4,"HIGH",IF(C33&gt;=0.25,"ELEVATED","BASELINE"))</f>
        <v/>
      </c>
      <c r="E33" s="101" t="inlineStr">
        <is>
          <t>Driven by complaints, staffing, quality signals</t>
        </is>
      </c>
    </row>
    <row r="34" ht="15" customHeight="1" s="89">
      <c r="A34" s="88" t="inlineStr">
        <is>
          <t>Medicare Audit / Medical Review (next 12 mo)</t>
        </is>
      </c>
      <c r="B34" s="161">
        <f>B10</f>
        <v/>
      </c>
      <c r="C34" s="105">
        <f>MIN(0.55, B10*B28*IF(B22&gt;=50,1.3,1)*IF(B23&gt;=70,1.2,1))</f>
        <v/>
      </c>
      <c r="D34" s="126">
        <f>IF(C34&gt;=0.25,"HIGH",IF(C34&gt;=0.15,"ELEVATED","BASELINE"))</f>
        <v/>
      </c>
      <c r="E34" s="101" t="inlineStr">
        <is>
          <t>Elevated by documentation risk + high opportunity score</t>
        </is>
      </c>
    </row>
    <row r="35" ht="15" customHeight="1" s="89">
      <c r="A35" s="88" t="inlineStr">
        <is>
          <t>Any Survey or Audit (approximate union)</t>
        </is>
      </c>
      <c r="B35" s="101" t="n"/>
      <c r="C35" s="162">
        <f>1-(1-C32)*(1-C33)*(1-C34)</f>
        <v/>
      </c>
      <c r="D35" s="126">
        <f>IF(C35&gt;=0.7,"HIGH",IF(C35&gt;=0.5,"ELEVATED","MODERATE"))</f>
        <v/>
      </c>
      <c r="E35" s="101" t="inlineStr">
        <is>
          <t>Combined likelihood of at least one event</t>
        </is>
      </c>
    </row>
    <row r="37" ht="15" customHeight="1" s="89">
      <c r="A37" s="97" t="inlineStr">
        <is>
          <t>E. MODEL FORMULA SUMMARY (copy-paste ready)</t>
        </is>
      </c>
    </row>
    <row r="38" ht="15" customHeight="1" s="89">
      <c r="A38" s="88" t="inlineStr">
        <is>
          <t>Total Points</t>
        </is>
      </c>
      <c r="B38" s="163" t="inlineStr">
        <is>
          <t>'=SUM of points from each risk factor</t>
        </is>
      </c>
    </row>
    <row r="39" ht="15" customHeight="1" s="89">
      <c r="A39" s="88" t="inlineStr">
        <is>
          <t>Uplift Factor</t>
        </is>
      </c>
      <c r="B39" s="163" t="inlineStr">
        <is>
          <t>'=1 + (Total_Points / 100)</t>
        </is>
      </c>
    </row>
    <row r="40" ht="15" customHeight="1" s="89">
      <c r="A40" s="88" t="inlineStr">
        <is>
          <t>Adjusted Probability</t>
        </is>
      </c>
      <c r="B40" s="163" t="inlineStr">
        <is>
          <t>'=MIN(cap, Base_Rate × Uplift_Factor)</t>
        </is>
      </c>
    </row>
    <row r="41" ht="15" customHeight="1" s="89">
      <c r="A41" s="88" t="inlineStr">
        <is>
          <t>Any Event (union)</t>
        </is>
      </c>
      <c r="B41" s="163" t="inlineStr">
        <is>
          <t>'=1 - (1-P_standard)×(1-P_complaint)×(1-P_audit)</t>
        </is>
      </c>
    </row>
    <row r="43" ht="15" customHeight="1" s="89">
      <c r="A43" s="97" t="inlineStr">
        <is>
          <t>F. INTERPRETATION GUIDE</t>
        </is>
      </c>
    </row>
    <row r="44" ht="15" customHeight="1" s="89">
      <c r="A44" s="88" t="inlineStr">
        <is>
          <t>• BASELINE: Probability close to industry average — routine monitoring.</t>
        </is>
      </c>
    </row>
    <row r="45" ht="15" customHeight="1" s="89">
      <c r="A45" s="88" t="inlineStr">
        <is>
          <t>• ELEVATED: Meaningfully above base rate — prioritize documentation readiness and mock survey.</t>
        </is>
      </c>
    </row>
    <row r="46" ht="15" customHeight="1" s="89">
      <c r="A46" s="88" t="inlineStr">
        <is>
          <t>• HIGH: Material chance of survey or audit in next 12 months — treat as near-term operational priority.</t>
        </is>
      </c>
    </row>
    <row r="47" ht="15" customHeight="1" s="89">
      <c r="A47" s="88" t="inlineStr">
        <is>
          <t>• Model is directional and transparent. It is not a substitute for state-specific survey schedules or CMS audit selection algorithms.</t>
        </is>
      </c>
    </row>
    <row r="48" ht="15" customHeight="1" s="89">
      <c r="A48" s="88" t="inlineStr">
        <is>
          <t>• Recalibrate base rates and point weights to your state or portfolio experience for best performance.</t>
        </is>
      </c>
    </row>
    <row r="50" ht="15" customHeight="1" s="89">
      <c r="A50" s="97" t="inlineStr">
        <is>
          <t>G. DEMO FACILITY RESULT (auto-calculated from linked data)</t>
        </is>
      </c>
    </row>
    <row r="51" ht="15" customHeight="1" s="89">
      <c r="A51" s="148" t="inlineStr">
        <is>
          <t>This facility's scores will populate automatically from Sheets 05, 06, and 12. Review Section D for the current estimated probabilities.</t>
        </is>
      </c>
    </row>
    <row r="52" ht="15" customHeight="1" s="89"/>
  </sheetData>
  <mergeCells count="10">
    <mergeCell ref="A30:E30"/>
    <mergeCell ref="A1:G1"/>
    <mergeCell ref="A6:D6"/>
    <mergeCell ref="A50:D50"/>
    <mergeCell ref="A26:D26"/>
    <mergeCell ref="A3:G4"/>
    <mergeCell ref="A37:F37"/>
    <mergeCell ref="A12:F12"/>
    <mergeCell ref="A51:F52"/>
    <mergeCell ref="A43:F43"/>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5.xml><?xml version="1.0" encoding="utf-8"?>
<worksheet xmlns="http://schemas.openxmlformats.org/spreadsheetml/2006/main">
  <sheetPr filterMode="0">
    <outlinePr summaryBelow="1" summaryRight="1"/>
    <pageSetUpPr fitToPage="0"/>
  </sheetPr>
  <dimension ref="A1:G69"/>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58" customWidth="1" style="88" min="1" max="1"/>
    <col width="14" customWidth="1" style="88" min="2" max="4"/>
    <col width="55" customWidth="1" style="88" min="5" max="5"/>
  </cols>
  <sheetData>
    <row r="1" ht="19.7" customHeight="1" s="89">
      <c r="A1" s="147" t="inlineStr">
        <is>
          <t>FACILITY &amp; REIT-STYLE VALUATION</t>
        </is>
      </c>
    </row>
    <row r="3" ht="15" customHeight="1" s="89">
      <c r="A3" s="148" t="inlineStr">
        <is>
          <t>Valuation is derived from workbook financials, risk scores, documentation opportunity, and sector multiples/cap rates. Ranges reflect current SNF market norms (EBITDAR multiples ~6.5x–9.0x; implied cap rates ~11–15%).</t>
        </is>
      </c>
    </row>
    <row r="4" ht="15" customHeight="1" s="89"/>
    <row r="6" ht="15" customHeight="1" s="89">
      <c r="A6" s="97" t="inlineStr">
        <is>
          <t>A. KEY VALUATION INPUTS (linked)</t>
        </is>
      </c>
    </row>
    <row r="7" ht="15" customHeight="1" s="89">
      <c r="A7" s="119" t="inlineStr">
        <is>
          <t>Metric</t>
        </is>
      </c>
      <c r="B7" s="119" t="inlineStr">
        <is>
          <t>Value</t>
        </is>
      </c>
      <c r="C7" s="119" t="inlineStr">
        <is>
          <t>Source</t>
        </is>
      </c>
    </row>
    <row r="8" ht="15" customHeight="1" s="89">
      <c r="A8" s="101" t="inlineStr">
        <is>
          <t>Total Operating Revenue</t>
        </is>
      </c>
      <c r="B8" s="120">
        <f>03_Financial_Inputs!B7</f>
        <v/>
      </c>
      <c r="C8" s="101" t="inlineStr">
        <is>
          <t>Financials</t>
        </is>
      </c>
    </row>
    <row r="9" ht="15" customHeight="1" s="89">
      <c r="A9" s="101" t="inlineStr">
        <is>
          <t>Net Patient Revenue</t>
        </is>
      </c>
      <c r="B9" s="120">
        <f>03_Financial_Inputs!B8</f>
        <v/>
      </c>
      <c r="C9" s="101" t="inlineStr">
        <is>
          <t>Financials</t>
        </is>
      </c>
    </row>
    <row r="10" ht="15" customHeight="1" s="89">
      <c r="A10" s="101" t="inlineStr">
        <is>
          <t>EBITDA</t>
        </is>
      </c>
      <c r="B10" s="120">
        <f>03_Financial_Inputs!B21</f>
        <v/>
      </c>
      <c r="C10" s="101" t="inlineStr">
        <is>
          <t>Financials</t>
        </is>
      </c>
    </row>
    <row r="11" ht="15" customHeight="1" s="89">
      <c r="A11" s="101" t="inlineStr">
        <is>
          <t>EBITDAR (EBITDA + Rent)</t>
        </is>
      </c>
      <c r="B11" s="120">
        <f>03_Financial_Inputs!B22</f>
        <v/>
      </c>
      <c r="C11" s="101" t="inlineStr">
        <is>
          <t>Primary SNF metric</t>
        </is>
      </c>
    </row>
    <row r="12" ht="15" customHeight="1" s="89">
      <c r="A12" s="101" t="inlineStr">
        <is>
          <t>Net Income</t>
        </is>
      </c>
      <c r="B12" s="120">
        <f>03_Financial_Inputs!B23</f>
        <v/>
      </c>
      <c r="C12" s="101" t="inlineStr">
        <is>
          <t>Financials</t>
        </is>
      </c>
    </row>
    <row r="13" ht="15" customHeight="1" s="89">
      <c r="A13" s="101" t="inlineStr">
        <is>
          <t>Annual Debt Service</t>
        </is>
      </c>
      <c r="B13" s="120">
        <f>03_Financial_Inputs!B32</f>
        <v/>
      </c>
      <c r="C13" s="101" t="inlineStr">
        <is>
          <t>Financials</t>
        </is>
      </c>
    </row>
    <row r="14" ht="15" customHeight="1" s="89">
      <c r="A14" s="101" t="inlineStr">
        <is>
          <t>Long-Term Debt</t>
        </is>
      </c>
      <c r="B14" s="120">
        <f>03_Financial_Inputs!B30</f>
        <v/>
      </c>
      <c r="C14" s="101" t="inlineStr">
        <is>
          <t>Financials</t>
        </is>
      </c>
    </row>
    <row r="15" ht="15" customHeight="1" s="89">
      <c r="A15" s="101" t="inlineStr">
        <is>
          <t>Certified Beds</t>
        </is>
      </c>
      <c r="B15" s="120">
        <f>02_Facility_Profile!B12</f>
        <v/>
      </c>
      <c r="C15" s="101" t="inlineStr">
        <is>
          <t>Profile</t>
        </is>
      </c>
    </row>
    <row r="16" ht="15" customHeight="1" s="89">
      <c r="A16" s="101" t="inlineStr">
        <is>
          <t>Occupancy %</t>
        </is>
      </c>
      <c r="B16" s="136">
        <f>04_Operational_Inputs!B7</f>
        <v/>
      </c>
      <c r="C16" s="101" t="inlineStr">
        <is>
          <t>Operations</t>
        </is>
      </c>
    </row>
    <row r="17" ht="15" customHeight="1" s="89">
      <c r="A17" s="101" t="inlineStr">
        <is>
          <t>Composite Risk Score</t>
        </is>
      </c>
      <c r="B17" s="164">
        <f>07_Risk_Scores!B13</f>
        <v/>
      </c>
      <c r="C17" s="101" t="inlineStr">
        <is>
          <t>Risk model</t>
        </is>
      </c>
    </row>
    <row r="18" ht="15" customHeight="1" s="89">
      <c r="A18" s="101" t="inlineStr">
        <is>
          <t>Doc Opportunity Score</t>
        </is>
      </c>
      <c r="B18" s="164">
        <f>07_Risk_Scores!B15</f>
        <v/>
      </c>
      <c r="C18" s="101" t="inlineStr">
        <is>
          <t>Documentation</t>
        </is>
      </c>
    </row>
    <row r="19" ht="15" customHeight="1" s="89">
      <c r="A19" s="101" t="inlineStr">
        <is>
          <t>Annualized Hidden Revenue $</t>
        </is>
      </c>
      <c r="B19" s="120">
        <f>06_Documentation_Risk!B16</f>
        <v/>
      </c>
      <c r="C19" s="101" t="inlineStr">
        <is>
          <t>Chart intelligence</t>
        </is>
      </c>
    </row>
    <row r="20" ht="15" customHeight="1" s="89">
      <c r="A20" s="101" t="inlineStr">
        <is>
          <t>CMI Gap Opportunity $</t>
        </is>
      </c>
      <c r="B20" s="120">
        <f>12_CaseMix_PDPM!B24</f>
        <v/>
      </c>
      <c r="C20" s="101" t="inlineStr">
        <is>
          <t>Case-mix</t>
        </is>
      </c>
    </row>
    <row r="22" ht="15" customHeight="1" s="89">
      <c r="A22" s="97" t="inlineStr">
        <is>
          <t>B. MARKET MULTIPLES &amp; CAP RATES (editable)</t>
        </is>
      </c>
    </row>
    <row r="23" ht="15" customHeight="1" s="89">
      <c r="A23" s="119" t="inlineStr">
        <is>
          <t>Assumption</t>
        </is>
      </c>
      <c r="B23" s="119" t="inlineStr">
        <is>
          <t>Low</t>
        </is>
      </c>
      <c r="C23" s="119" t="inlineStr">
        <is>
          <t>Base</t>
        </is>
      </c>
      <c r="D23" s="119" t="inlineStr">
        <is>
          <t>High</t>
        </is>
      </c>
      <c r="E23" s="119" t="inlineStr">
        <is>
          <t>Notes</t>
        </is>
      </c>
    </row>
    <row r="24" ht="15" customHeight="1" s="89">
      <c r="A24" s="88" t="inlineStr">
        <is>
          <t>EBITDAR Multiple (x)</t>
        </is>
      </c>
      <c r="B24" s="165" t="n">
        <v>6.5</v>
      </c>
      <c r="C24" s="165" t="n">
        <v>7.5</v>
      </c>
      <c r="D24" s="165" t="n">
        <v>8.800000000000001</v>
      </c>
      <c r="E24" s="101" t="inlineStr">
        <is>
          <t>Lower for higher risk / thinner margins; higher for strong operators</t>
        </is>
      </c>
    </row>
    <row r="25" ht="15" customHeight="1" s="89">
      <c r="A25" s="88" t="inlineStr">
        <is>
          <t>Implied Cap Rate</t>
        </is>
      </c>
      <c r="B25" s="105">
        <f>1/B24</f>
        <v/>
      </c>
      <c r="C25" s="105">
        <f>1/C24</f>
        <v/>
      </c>
      <c r="D25" s="105">
        <f>1/D24</f>
        <v/>
      </c>
      <c r="E25" s="101" t="inlineStr">
        <is>
          <t>Cap Rate = 1 / Multiple</t>
        </is>
      </c>
    </row>
    <row r="26" ht="15" customHeight="1" s="89">
      <c r="A26" s="88" t="inlineStr">
        <is>
          <t>Risk Adjustment to Multiple (pts)</t>
        </is>
      </c>
      <c r="B26" s="165" t="n">
        <v>-0.6</v>
      </c>
      <c r="C26" s="165" t="n">
        <v>-0.3</v>
      </c>
      <c r="D26" s="165" t="n">
        <v>0.2</v>
      </c>
      <c r="E26" s="101" t="inlineStr">
        <is>
          <t>Negative = higher risk → lower multiple. Demo is moderate risk.</t>
        </is>
      </c>
    </row>
    <row r="27" ht="15" customHeight="1" s="89">
      <c r="A27" s="88" t="inlineStr">
        <is>
          <t>Documentation Upside Premium (pts)</t>
        </is>
      </c>
      <c r="B27" s="165" t="n">
        <v>0</v>
      </c>
      <c r="C27" s="165" t="n">
        <v>0.3</v>
      </c>
      <c r="D27" s="165" t="n">
        <v>0.6</v>
      </c>
      <c r="E27" s="101" t="inlineStr">
        <is>
          <t>Buyers may pay more if hidden revenue is credible and low audit risk</t>
        </is>
      </c>
    </row>
    <row r="28" ht="15" customHeight="1" s="89">
      <c r="A28" s="88" t="inlineStr">
        <is>
          <t>Adjusted EBITDAR Multiple</t>
        </is>
      </c>
      <c r="B28" s="106">
        <f>B24+B26+B27</f>
        <v/>
      </c>
      <c r="C28" s="106">
        <f>C24+C26+C27</f>
        <v/>
      </c>
      <c r="D28" s="106">
        <f>D24+D26+D27</f>
        <v/>
      </c>
      <c r="E28" s="101" t="inlineStr">
        <is>
          <t>Base multiple ± risk ± doc premium</t>
        </is>
      </c>
    </row>
    <row r="30" ht="15" customHeight="1" s="89">
      <c r="A30" s="97" t="inlineStr">
        <is>
          <t>C. FACILITY ENTERPRISE VALUE (EBITDAR method)</t>
        </is>
      </c>
    </row>
    <row r="31" ht="15" customHeight="1" s="89">
      <c r="A31" s="119" t="inlineStr">
        <is>
          <t>Metric</t>
        </is>
      </c>
      <c r="B31" s="119" t="inlineStr">
        <is>
          <t>Low</t>
        </is>
      </c>
      <c r="C31" s="119" t="inlineStr">
        <is>
          <t>Base</t>
        </is>
      </c>
      <c r="D31" s="119" t="inlineStr">
        <is>
          <t>High</t>
        </is>
      </c>
    </row>
    <row r="32" ht="15" customHeight="1" s="89">
      <c r="A32" s="88" t="inlineStr">
        <is>
          <t>EBITDAR (as reported)</t>
        </is>
      </c>
      <c r="B32" s="121">
        <f>$B$11</f>
        <v/>
      </c>
      <c r="C32" s="121">
        <f>$B$11</f>
        <v/>
      </c>
      <c r="D32" s="121">
        <f>$B$11</f>
        <v/>
      </c>
    </row>
    <row r="33" ht="15" customHeight="1" s="89">
      <c r="A33" s="88" t="inlineStr">
        <is>
          <t>Enterprise Value (EV)</t>
        </is>
      </c>
      <c r="B33" s="166">
        <f>B32*B28</f>
        <v/>
      </c>
      <c r="C33" s="166">
        <f>C32*C28</f>
        <v/>
      </c>
      <c r="D33" s="166">
        <f>D32*D28</f>
        <v/>
      </c>
    </row>
    <row r="34" ht="15" customHeight="1" s="89">
      <c r="A34" s="88" t="inlineStr">
        <is>
          <t>Less: Net Debt (LTD approx)</t>
        </is>
      </c>
      <c r="B34" s="121">
        <f>$B$14</f>
        <v/>
      </c>
      <c r="C34" s="121">
        <f>$B$14</f>
        <v/>
      </c>
      <c r="D34" s="121">
        <f>$B$14</f>
        <v/>
      </c>
    </row>
    <row r="35" ht="15" customHeight="1" s="89">
      <c r="A35" s="88" t="inlineStr">
        <is>
          <t>Equity Value (to sponsor / seller)</t>
        </is>
      </c>
      <c r="B35" s="150">
        <f>B33-B34</f>
        <v/>
      </c>
      <c r="C35" s="150">
        <f>C33-C34</f>
        <v/>
      </c>
      <c r="D35" s="150">
        <f>D33-D34</f>
        <v/>
      </c>
    </row>
    <row r="36" ht="15" customHeight="1" s="89">
      <c r="A36" s="88" t="inlineStr">
        <is>
          <t>EV per Bed</t>
        </is>
      </c>
      <c r="B36" s="121">
        <f>B33/$B$15</f>
        <v/>
      </c>
      <c r="C36" s="121">
        <f>C33/$B$15</f>
        <v/>
      </c>
      <c r="D36" s="121">
        <f>D33/$B$15</f>
        <v/>
      </c>
    </row>
    <row r="37" ht="15" customHeight="1" s="89">
      <c r="A37" s="88" t="inlineStr">
        <is>
          <t>EV / Revenue</t>
        </is>
      </c>
      <c r="B37" s="167">
        <f>B33/$B$8</f>
        <v/>
      </c>
      <c r="C37" s="167">
        <f>C33/$B$8</f>
        <v/>
      </c>
      <c r="D37" s="167">
        <f>D33/$B$8</f>
        <v/>
      </c>
    </row>
    <row r="39" ht="15" customHeight="1" s="89">
      <c r="A39" s="97" t="inlineStr">
        <is>
          <t>D. VALUE WITH CREDIBLE DOCUMENTATION UPSIDE</t>
        </is>
      </c>
    </row>
    <row r="40" ht="15" customHeight="1" s="89">
      <c r="A40" s="119" t="inlineStr">
        <is>
          <t>Metric</t>
        </is>
      </c>
      <c r="B40" s="119" t="inlineStr">
        <is>
          <t>Low</t>
        </is>
      </c>
      <c r="C40" s="119" t="inlineStr">
        <is>
          <t>Base</t>
        </is>
      </c>
      <c r="D40" s="119" t="inlineStr">
        <is>
          <t>High</t>
        </is>
      </c>
    </row>
    <row r="41" ht="15" customHeight="1" s="89">
      <c r="A41" s="88" t="inlineStr">
        <is>
          <t>Reported EBITDAR</t>
        </is>
      </c>
      <c r="B41" s="121">
        <f>$B$11</f>
        <v/>
      </c>
      <c r="C41" s="121">
        <f>$B$11</f>
        <v/>
      </c>
      <c r="D41" s="121">
        <f>$B$11</f>
        <v/>
      </c>
    </row>
    <row r="42" ht="15" customHeight="1" s="89">
      <c r="A42" s="88" t="inlineStr">
        <is>
          <t>Add: Annualized Hidden Revenue (conservative 50% realizable)</t>
        </is>
      </c>
      <c r="B42" s="121">
        <f>$B$19*0.4</f>
        <v/>
      </c>
      <c r="C42" s="121">
        <f>$B$19*0.55</f>
        <v/>
      </c>
      <c r="D42" s="121">
        <f>$B$19*0.7</f>
        <v/>
      </c>
    </row>
    <row r="43" ht="15" customHeight="1" s="89">
      <c r="A43" s="88" t="inlineStr">
        <is>
          <t>Adjusted EBITDAR (with doc upside)</t>
        </is>
      </c>
      <c r="B43" s="121">
        <f>B41+B42</f>
        <v/>
      </c>
      <c r="C43" s="121">
        <f>C41+C42</f>
        <v/>
      </c>
      <c r="D43" s="121">
        <f>D41+D42</f>
        <v/>
      </c>
    </row>
    <row r="44" ht="15" customHeight="1" s="89">
      <c r="A44" s="88" t="inlineStr">
        <is>
          <t>Enterprise Value (with upside)</t>
        </is>
      </c>
      <c r="B44" s="166">
        <f>B43*B28</f>
        <v/>
      </c>
      <c r="C44" s="166">
        <f>C43*C28</f>
        <v/>
      </c>
      <c r="D44" s="166">
        <f>D43*D28</f>
        <v/>
      </c>
    </row>
    <row r="45" ht="15" customHeight="1" s="89">
      <c r="A45" s="88" t="inlineStr">
        <is>
          <t>Equity Value (with upside)</t>
        </is>
      </c>
      <c r="B45" s="121">
        <f>B44-$B$14</f>
        <v/>
      </c>
      <c r="C45" s="121">
        <f>C44-$B$14</f>
        <v/>
      </c>
      <c r="D45" s="121">
        <f>D44-$B$14</f>
        <v/>
      </c>
    </row>
    <row r="46" ht="15" customHeight="1" s="89">
      <c r="A46" s="88" t="inlineStr">
        <is>
          <t>Upside in EV vs reported-only</t>
        </is>
      </c>
      <c r="B46" s="121">
        <f>B44-B33</f>
        <v/>
      </c>
      <c r="C46" s="121">
        <f>C44-C33</f>
        <v/>
      </c>
      <c r="D46" s="121">
        <f>D44-D33</f>
        <v/>
      </c>
    </row>
    <row r="48" ht="15" customHeight="1" s="89">
      <c r="A48" s="97" t="inlineStr">
        <is>
          <t>E. REIT / NNN-STYLE VIEW (rent coverage lens)</t>
        </is>
      </c>
    </row>
    <row r="49" ht="15" customHeight="1" s="89">
      <c r="A49" s="119" t="inlineStr">
        <is>
          <t>Metric</t>
        </is>
      </c>
      <c r="B49" s="119" t="inlineStr">
        <is>
          <t>Value</t>
        </is>
      </c>
      <c r="C49" s="119" t="inlineStr">
        <is>
          <t>Notes</t>
        </is>
      </c>
    </row>
    <row r="50" ht="15" customHeight="1" s="89">
      <c r="A50" s="88" t="inlineStr">
        <is>
          <t>Current Rent / Lease Expense</t>
        </is>
      </c>
      <c r="B50" s="120">
        <f>03_Financial_Inputs!B18</f>
        <v/>
      </c>
      <c r="C50" s="101" t="inlineStr">
        <is>
          <t>From financials</t>
        </is>
      </c>
    </row>
    <row r="51" ht="15" customHeight="1" s="89">
      <c r="A51" s="88" t="inlineStr">
        <is>
          <t>EBITDAR / Rent (coverage)</t>
        </is>
      </c>
      <c r="B51" s="167">
        <f>IF(B50=0,"",B11/B50)</f>
        <v/>
      </c>
      <c r="C51" s="101" t="inlineStr">
        <is>
          <t>Target often 1.3–1.5x for REIT comfort</t>
        </is>
      </c>
    </row>
    <row r="52" ht="15" customHeight="1" s="89">
      <c r="A52" s="88" t="inlineStr">
        <is>
          <t>Implied Rent at 1.4x coverage (on reported EBITDAR)</t>
        </is>
      </c>
      <c r="B52" s="121">
        <f>B11/1.4</f>
        <v/>
      </c>
      <c r="C52" s="101" t="inlineStr">
        <is>
          <t>What rent supports 1.4x coverage</t>
        </is>
      </c>
    </row>
    <row r="53" ht="15" customHeight="1" s="89">
      <c r="A53" s="88" t="inlineStr">
        <is>
          <t>Implied Rent at 1.4x (with doc upside - base)</t>
        </is>
      </c>
      <c r="B53" s="121">
        <f>C43/1.4</f>
        <v/>
      </c>
      <c r="C53" s="101" t="inlineStr">
        <is>
          <t>Higher sustainable rent if upside realized</t>
        </is>
      </c>
    </row>
    <row r="54" ht="15" customHeight="1" s="89">
      <c r="A54" s="88" t="inlineStr">
        <is>
          <t>REIT Cap Rate applied to current rent</t>
        </is>
      </c>
      <c r="B54" s="116" t="n">
        <v>0.075</v>
      </c>
      <c r="C54" s="101" t="inlineStr">
        <is>
          <t>Illustrative healthcare REIT cap rate on rent stream</t>
        </is>
      </c>
    </row>
    <row r="55" ht="15" customHeight="1" s="89">
      <c r="A55" s="88" t="inlineStr">
        <is>
          <t>Implied Property Value (Rent / Cap Rate)</t>
        </is>
      </c>
      <c r="B55" s="121">
        <f>IF(B54=0,"",B50/B54)</f>
        <v/>
      </c>
      <c r="C55" s="101" t="inlineStr">
        <is>
          <t>NNN-style property value to a REIT</t>
        </is>
      </c>
    </row>
    <row r="57" ht="15" customHeight="1" s="89">
      <c r="A57" s="97" t="inlineStr">
        <is>
          <t>F. SUMMARY VALUATION RANGE (DEMO FACILITY)</t>
        </is>
      </c>
    </row>
    <row r="58" ht="15" customHeight="1" s="89">
      <c r="A58" s="119" t="inlineStr">
        <is>
          <t>View</t>
        </is>
      </c>
      <c r="B58" s="119" t="inlineStr">
        <is>
          <t>Low</t>
        </is>
      </c>
      <c r="C58" s="119" t="inlineStr">
        <is>
          <t>Base</t>
        </is>
      </c>
      <c r="D58" s="119" t="inlineStr">
        <is>
          <t>High</t>
        </is>
      </c>
    </row>
    <row r="59" ht="15" customHeight="1" s="89">
      <c r="A59" s="88" t="inlineStr">
        <is>
          <t>Enterprise Value (reported EBITDAR only)</t>
        </is>
      </c>
      <c r="B59" s="121">
        <f>B33</f>
        <v/>
      </c>
      <c r="C59" s="121">
        <f>C33</f>
        <v/>
      </c>
      <c r="D59" s="121">
        <f>D33</f>
        <v/>
      </c>
    </row>
    <row r="60" ht="15" customHeight="1" s="89">
      <c r="A60" s="88" t="inlineStr">
        <is>
          <t>Enterprise Value (with doc upside)</t>
        </is>
      </c>
      <c r="B60" s="168">
        <f>B44</f>
        <v/>
      </c>
      <c r="C60" s="168">
        <f>C44</f>
        <v/>
      </c>
      <c r="D60" s="168">
        <f>D44</f>
        <v/>
      </c>
    </row>
    <row r="61" ht="15" customHeight="1" s="89">
      <c r="A61" s="88" t="inlineStr">
        <is>
          <t>Equity Value (with doc upside)</t>
        </is>
      </c>
      <c r="B61" s="121">
        <f>B45</f>
        <v/>
      </c>
      <c r="C61" s="121">
        <f>C45</f>
        <v/>
      </c>
      <c r="D61" s="121">
        <f>D45</f>
        <v/>
      </c>
    </row>
    <row r="62" ht="15" customHeight="1" s="89">
      <c r="A62" s="88" t="inlineStr">
        <is>
          <t>EV per Bed (with upside)</t>
        </is>
      </c>
      <c r="B62" s="121">
        <f>B44/$B$15</f>
        <v/>
      </c>
      <c r="C62" s="121">
        <f>C44/$B$15</f>
        <v/>
      </c>
      <c r="D62" s="121">
        <f>D44/$B$15</f>
        <v/>
      </c>
    </row>
    <row r="64" ht="15" customHeight="1" s="89">
      <c r="A64" s="97" t="inlineStr">
        <is>
          <t>G. INTERPRETATION FOR THIS DEMO FACILITY</t>
        </is>
      </c>
    </row>
    <row r="65" ht="15" customHeight="1" s="89">
      <c r="A65" s="88" t="inlineStr">
        <is>
          <t>• Reported EBITDAR of ~$2.27M supports an Enterprise Value roughly in the mid-teens of millions at current sector multiples, after modest risk discount.</t>
        </is>
      </c>
    </row>
    <row r="66" ht="15" customHeight="1" s="89">
      <c r="A66" s="88" t="inlineStr">
        <is>
          <t>• Credible documentation upside (~$620k annualized, 4.4% leak) can add meaningful value if a buyer believes 50–70% is realizable with low audit risk.</t>
        </is>
      </c>
    </row>
    <row r="67" ht="15" customHeight="1" s="89">
      <c r="A67" s="88" t="inlineStr">
        <is>
          <t>• Rent coverage (~3.15x on reported EBITDAR) is healthy for a REIT/NNN structure; the property could support higher rent or a stronger coverage covenant.</t>
        </is>
      </c>
    </row>
    <row r="68" ht="15" customHeight="1" s="89">
      <c r="A68" s="88" t="inlineStr">
        <is>
          <t>• Moderate composite risk (40.6) and ~11% Monte Carlo probability of DSCR &lt; 1.20x keep the multiple from the top of the range.</t>
        </is>
      </c>
    </row>
    <row r="69" ht="15" customHeight="1" s="89">
      <c r="A69" s="88" t="inlineStr">
        <is>
          <t>• This is a decision-support range, not an appraisal. Formal valuation requires market comps, local demographics, certificate-of-need status, and full quality of earnings.</t>
        </is>
      </c>
    </row>
  </sheetData>
  <mergeCells count="9">
    <mergeCell ref="A30:E30"/>
    <mergeCell ref="A39:E39"/>
    <mergeCell ref="A48:E48"/>
    <mergeCell ref="A1:G1"/>
    <mergeCell ref="A6:D6"/>
    <mergeCell ref="A22:D22"/>
    <mergeCell ref="A57:E57"/>
    <mergeCell ref="A3:G4"/>
    <mergeCell ref="A64:G64"/>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30"/>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55" customWidth="1" style="88" min="1" max="1"/>
    <col width="35" customWidth="1" style="88" min="2" max="2"/>
    <col width="40" customWidth="1" style="88" min="3" max="3"/>
  </cols>
  <sheetData>
    <row r="1" ht="19.5" customHeight="1" s="89">
      <c r="A1" s="98" t="inlineStr">
        <is>
          <t>FACILITY PROFILE &amp; IDENTIFIERS</t>
        </is>
      </c>
    </row>
    <row r="3" ht="15" customHeight="1" s="89">
      <c r="A3" s="97" t="inlineStr">
        <is>
          <t>Section A — Identity</t>
        </is>
      </c>
    </row>
    <row r="4" ht="15" customHeight="1" s="89">
      <c r="A4" s="99" t="inlineStr">
        <is>
          <t>Facility Legal Name</t>
        </is>
      </c>
      <c r="B4" s="100" t="inlineStr">
        <is>
          <t>Example Care Center of Springfield</t>
        </is>
      </c>
      <c r="C4" s="99" t="inlineStr">
        <is>
          <t>Source / Notes</t>
        </is>
      </c>
    </row>
    <row r="5" ht="15" customHeight="1" s="89">
      <c r="A5" s="101" t="inlineStr">
        <is>
          <t>DBA / Common Name</t>
        </is>
      </c>
      <c r="B5" s="102" t="inlineStr">
        <is>
          <t>Springfield SNF</t>
        </is>
      </c>
      <c r="C5" s="101" t="n"/>
    </row>
    <row r="6" ht="15" customHeight="1" s="89">
      <c r="A6" s="101" t="inlineStr">
        <is>
          <t>CMS Certification Number (CCN)</t>
        </is>
      </c>
      <c r="B6" s="102" t="inlineStr">
        <is>
          <t>145123</t>
        </is>
      </c>
      <c r="C6" s="101" t="n"/>
    </row>
    <row r="7" ht="15" customHeight="1" s="89">
      <c r="A7" s="101" t="inlineStr">
        <is>
          <t>NPI</t>
        </is>
      </c>
      <c r="B7" s="102" t="inlineStr">
        <is>
          <t>1234567890</t>
        </is>
      </c>
      <c r="C7" s="101" t="n"/>
    </row>
    <row r="8" ht="15" customHeight="1" s="89">
      <c r="A8" s="101" t="inlineStr">
        <is>
          <t>State</t>
        </is>
      </c>
      <c r="B8" s="102" t="inlineStr">
        <is>
          <t>IL</t>
        </is>
      </c>
      <c r="C8" s="101" t="n"/>
    </row>
    <row r="9" ht="15" customHeight="1" s="89">
      <c r="A9" s="101" t="inlineStr">
        <is>
          <t>County / CBSA</t>
        </is>
      </c>
      <c r="B9" s="102" t="inlineStr">
        <is>
          <t>Sangamon / Springfield IL</t>
        </is>
      </c>
      <c r="C9" s="101" t="n"/>
    </row>
    <row r="10" ht="15" customHeight="1" s="89">
      <c r="A10" s="101" t="inlineStr">
        <is>
          <t>Ownership Type (For-profit / Non-profit / Government)</t>
        </is>
      </c>
      <c r="B10" s="102" t="inlineStr">
        <is>
          <t>For-profit</t>
        </is>
      </c>
      <c r="C10" s="101" t="n"/>
    </row>
    <row r="11" ht="15" customHeight="1" s="89">
      <c r="A11" s="101" t="inlineStr">
        <is>
          <t>Chain / Operator Name</t>
        </is>
      </c>
      <c r="B11" s="102" t="inlineStr">
        <is>
          <t>Example Health Partners</t>
        </is>
      </c>
      <c r="C11" s="101" t="n"/>
    </row>
    <row r="12" ht="15" customHeight="1" s="89">
      <c r="A12" s="101" t="inlineStr">
        <is>
          <t>Number of Certified Beds</t>
        </is>
      </c>
      <c r="B12" s="102" t="n">
        <v>120</v>
      </c>
      <c r="C12" s="101" t="n"/>
    </row>
    <row r="13" ht="15" customHeight="1" s="89">
      <c r="A13" s="101" t="inlineStr">
        <is>
          <t>Fiscal Year End (MM/DD)</t>
        </is>
      </c>
      <c r="B13" s="102" t="inlineStr">
        <is>
          <t>12/31</t>
        </is>
      </c>
      <c r="C13" s="101" t="n"/>
    </row>
    <row r="14" ht="15" customHeight="1" s="89">
      <c r="A14" s="101" t="inlineStr">
        <is>
          <t>Cost Report FY (most recent)</t>
        </is>
      </c>
      <c r="B14" s="102" t="inlineStr">
        <is>
          <t>2024</t>
        </is>
      </c>
      <c r="C14" s="101" t="n"/>
    </row>
    <row r="15" ht="15" customHeight="1" s="89">
      <c r="A15" s="101" t="inlineStr">
        <is>
          <t>Analysis Date</t>
        </is>
      </c>
      <c r="B15" s="102" t="inlineStr">
        <is>
          <t>2026-08-08</t>
        </is>
      </c>
      <c r="C15" s="101" t="n"/>
    </row>
    <row r="16" ht="15" customHeight="1" s="89">
      <c r="A16" s="101" t="inlineStr">
        <is>
          <t>Prepared By</t>
        </is>
      </c>
      <c r="B16" s="102" t="inlineStr">
        <is>
          <t>DRL Holdings Intelligence</t>
        </is>
      </c>
      <c r="C16" s="101" t="n"/>
    </row>
    <row r="17" ht="15" customHeight="1" s="89">
      <c r="A17" s="101" t="inlineStr">
        <is>
          <t>Project / Deal ID</t>
        </is>
      </c>
      <c r="B17" s="102" t="inlineStr">
        <is>
          <t>DEMO-001</t>
        </is>
      </c>
      <c r="C17" s="101" t="n"/>
    </row>
    <row r="19" ht="15" customHeight="1" s="89">
      <c r="A19" s="97" t="inlineStr">
        <is>
          <t>Section B — High-Level Characteristics</t>
        </is>
      </c>
    </row>
    <row r="20" ht="15" customHeight="1" s="89">
      <c r="A20" s="99" t="inlineStr">
        <is>
          <t>Urban / Rural</t>
        </is>
      </c>
      <c r="B20" s="100" t="inlineStr">
        <is>
          <t>Urban</t>
        </is>
      </c>
      <c r="C20" s="99" t="inlineStr">
        <is>
          <t>Source / Notes</t>
        </is>
      </c>
    </row>
    <row r="21" ht="15" customHeight="1" s="89">
      <c r="A21" s="101" t="inlineStr">
        <is>
          <t>Special Units (Vent, Memory, Dialysis, etc.)</t>
        </is>
      </c>
      <c r="B21" s="102" t="inlineStr">
        <is>
          <t>Memory Care unit (20 beds)</t>
        </is>
      </c>
      <c r="C21" s="101" t="n"/>
    </row>
    <row r="22" ht="15" customHeight="1" s="89">
      <c r="A22" s="101" t="inlineStr">
        <is>
          <t>Hospital-based vs Freestanding</t>
        </is>
      </c>
      <c r="B22" s="102" t="inlineStr">
        <is>
          <t>Freestanding</t>
        </is>
      </c>
      <c r="C22" s="101" t="n"/>
    </row>
    <row r="23" ht="15" customHeight="1" s="89">
      <c r="A23" s="101" t="inlineStr">
        <is>
          <t>Age of Plant (years)</t>
        </is>
      </c>
      <c r="B23" s="102" t="n">
        <v>28</v>
      </c>
      <c r="C23" s="101" t="n"/>
    </row>
    <row r="24" ht="15" customHeight="1" s="89">
      <c r="A24" s="101" t="inlineStr">
        <is>
          <t>Last Major Renovation Year</t>
        </is>
      </c>
      <c r="B24" s="102" t="inlineStr">
        <is>
          <t>2019</t>
        </is>
      </c>
      <c r="C24" s="101" t="n"/>
    </row>
    <row r="25" ht="15" customHeight="1" s="89">
      <c r="A25" s="101" t="inlineStr">
        <is>
          <t>CON / Moratorium State? (Y/N)</t>
        </is>
      </c>
      <c r="B25" s="102" t="inlineStr">
        <is>
          <t>N</t>
        </is>
      </c>
      <c r="C25" s="101" t="n"/>
    </row>
    <row r="27" ht="15" customHeight="1" s="89">
      <c r="A27" s="97" t="inlineStr">
        <is>
          <t>Section C — Purpose of Analysis</t>
        </is>
      </c>
    </row>
    <row r="28" ht="15" customHeight="1" s="89">
      <c r="A28" s="88" t="inlineStr">
        <is>
          <t>Primary Audience (Operator / Lender / Investor / REIT / PE / Internal)</t>
        </is>
      </c>
      <c r="B28" s="102" t="inlineStr">
        <is>
          <t>Lender / PE Pre-close</t>
        </is>
      </c>
    </row>
    <row r="29" ht="15" customHeight="1" s="89">
      <c r="A29" s="88" t="inlineStr">
        <is>
          <t>Use Case (Ongoing monitoring / Pre-close diligence / Sell-side / Distress / Portfolio)</t>
        </is>
      </c>
      <c r="B29" s="102" t="inlineStr">
        <is>
          <t>Pre-close diligence + hidden revenue scan</t>
        </is>
      </c>
    </row>
    <row r="30" ht="15" customHeight="1" s="89">
      <c r="A30" s="88" t="inlineStr">
        <is>
          <t>Key Question Being Answered</t>
        </is>
      </c>
      <c r="B30" s="102" t="inlineStr">
        <is>
          <t>Is there material under-documented revenue and acceptable audit risk?</t>
        </is>
      </c>
    </row>
  </sheetData>
  <mergeCells count="4">
    <mergeCell ref="A1:D1"/>
    <mergeCell ref="A27:D27"/>
    <mergeCell ref="A3:D3"/>
    <mergeCell ref="A19:D19"/>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F55"/>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40" customWidth="1" style="88" min="1" max="1"/>
    <col width="18" customWidth="1" style="88" min="2" max="2"/>
    <col width="15" customWidth="1" style="88" min="3" max="3"/>
    <col width="45" customWidth="1" style="88" min="4" max="4"/>
  </cols>
  <sheetData>
    <row r="1" ht="19.5" customHeight="1" s="89">
      <c r="A1" s="98" t="inlineStr">
        <is>
          <t>FINANCIAL INPUTS (from CMS Cost Report + Internal)</t>
        </is>
      </c>
    </row>
    <row r="3" ht="15" customHeight="1" s="89">
      <c r="A3" s="103" t="inlineStr">
        <is>
          <t>All yellow cells are inputs. Enter most recent full fiscal year and prior year where available. Values in $ (not $000s) unless noted.</t>
        </is>
      </c>
    </row>
    <row r="5" ht="15" customHeight="1" s="89">
      <c r="A5" s="97" t="inlineStr">
        <is>
          <t>INCOME STATEMENT / OPERATIONS</t>
        </is>
      </c>
    </row>
    <row r="6" ht="15" customHeight="1" s="89">
      <c r="A6" s="99" t="inlineStr">
        <is>
          <t>Metric</t>
        </is>
      </c>
      <c r="B6" s="99" t="inlineStr">
        <is>
          <t>Most Recent FY</t>
        </is>
      </c>
      <c r="C6" s="99" t="inlineStr">
        <is>
          <t>Prior FY</t>
        </is>
      </c>
      <c r="D6" s="99" t="inlineStr">
        <is>
          <t>Source / Notes</t>
        </is>
      </c>
    </row>
    <row r="7" ht="15" customHeight="1" s="89">
      <c r="A7" s="101" t="inlineStr">
        <is>
          <t>Total Operating Revenue</t>
        </is>
      </c>
      <c r="B7" s="104" t="n">
        <v>14500000</v>
      </c>
      <c r="C7" s="104" t="n">
        <v>13900000</v>
      </c>
      <c r="D7" s="101" t="n"/>
    </row>
    <row r="8" ht="15" customHeight="1" s="89">
      <c r="A8" s="101" t="inlineStr">
        <is>
          <t>Net Patient Revenue</t>
        </is>
      </c>
      <c r="B8" s="104" t="n">
        <v>14200000</v>
      </c>
      <c r="C8" s="104" t="n">
        <v>13650000</v>
      </c>
      <c r="D8" s="101" t="n"/>
    </row>
    <row r="9" ht="15" customHeight="1" s="89">
      <c r="A9" s="101" t="inlineStr">
        <is>
          <t>Medicare Revenue (Part A)</t>
        </is>
      </c>
      <c r="B9" s="104" t="n">
        <v>3800000</v>
      </c>
      <c r="C9" s="104" t="n">
        <v>3600000</v>
      </c>
      <c r="D9" s="101" t="n"/>
    </row>
    <row r="10" ht="15" customHeight="1" s="89">
      <c r="A10" s="101" t="inlineStr">
        <is>
          <t>Medicaid Revenue</t>
        </is>
      </c>
      <c r="B10" s="104" t="n">
        <v>8200000</v>
      </c>
      <c r="C10" s="104" t="n">
        <v>7900000</v>
      </c>
      <c r="D10" s="101" t="n"/>
    </row>
    <row r="11" ht="15" customHeight="1" s="89">
      <c r="A11" s="101" t="inlineStr">
        <is>
          <t>Private Pay / Other Revenue</t>
        </is>
      </c>
      <c r="B11" s="104" t="n">
        <v>2200000</v>
      </c>
      <c r="C11" s="104" t="n">
        <v>2150000</v>
      </c>
      <c r="D11" s="101" t="n"/>
    </row>
    <row r="12" ht="15" customHeight="1" s="89">
      <c r="A12" s="101" t="inlineStr">
        <is>
          <t>Total Operating Expenses</t>
        </is>
      </c>
      <c r="B12" s="104" t="n">
        <v>13800000</v>
      </c>
      <c r="C12" s="104" t="n">
        <v>13450000</v>
      </c>
      <c r="D12" s="101" t="n"/>
    </row>
    <row r="13" ht="15" customHeight="1" s="89">
      <c r="A13" s="101" t="inlineStr">
        <is>
          <t>Salaries &amp; Wages (Nursing + All)</t>
        </is>
      </c>
      <c r="B13" s="104" t="n">
        <v>6200000</v>
      </c>
      <c r="C13" s="104" t="n">
        <v>5950000</v>
      </c>
      <c r="D13" s="101" t="n"/>
    </row>
    <row r="14" ht="15" customHeight="1" s="89">
      <c r="A14" s="101" t="inlineStr">
        <is>
          <t>Benefits</t>
        </is>
      </c>
      <c r="B14" s="104" t="n">
        <v>1100000</v>
      </c>
      <c r="C14" s="104" t="n">
        <v>1050000</v>
      </c>
      <c r="D14" s="101" t="n"/>
    </row>
    <row r="15" ht="15" customHeight="1" s="89">
      <c r="A15" s="101" t="inlineStr">
        <is>
          <t>Agency / Contract Labor</t>
        </is>
      </c>
      <c r="B15" s="104" t="n">
        <v>950000</v>
      </c>
      <c r="C15" s="104" t="n">
        <v>1100000</v>
      </c>
      <c r="D15" s="101" t="n"/>
    </row>
    <row r="16" ht="15" customHeight="1" s="89">
      <c r="A16" s="101" t="inlineStr">
        <is>
          <t>Supplies &amp; Other Variable</t>
        </is>
      </c>
      <c r="B16" s="104" t="n">
        <v>1800000</v>
      </c>
      <c r="C16" s="104" t="n">
        <v>1750000</v>
      </c>
      <c r="D16" s="101" t="n"/>
    </row>
    <row r="17" ht="15" customHeight="1" s="89">
      <c r="A17" s="101" t="inlineStr">
        <is>
          <t>Occupancy / Facility Costs (ex-rent)</t>
        </is>
      </c>
      <c r="B17" s="104" t="n">
        <v>2100000</v>
      </c>
      <c r="C17" s="104" t="n">
        <v>2050000</v>
      </c>
      <c r="D17" s="101" t="n"/>
    </row>
    <row r="18" ht="15" customHeight="1" s="89">
      <c r="A18" s="101" t="inlineStr">
        <is>
          <t>Rent / Lease Expense (if any)</t>
        </is>
      </c>
      <c r="B18" s="104" t="n">
        <v>720000</v>
      </c>
      <c r="C18" s="104" t="n">
        <v>700000</v>
      </c>
      <c r="D18" s="101" t="n"/>
    </row>
    <row r="19" ht="15" customHeight="1" s="89">
      <c r="A19" s="101" t="inlineStr">
        <is>
          <t>Depreciation &amp; Amortization</t>
        </is>
      </c>
      <c r="B19" s="104" t="n">
        <v>450000</v>
      </c>
      <c r="C19" s="104" t="n">
        <v>440000</v>
      </c>
      <c r="D19" s="101" t="n"/>
    </row>
    <row r="20" ht="15" customHeight="1" s="89">
      <c r="A20" s="101" t="inlineStr">
        <is>
          <t>Interest Expense</t>
        </is>
      </c>
      <c r="B20" s="104" t="n">
        <v>380000</v>
      </c>
      <c r="C20" s="104" t="n">
        <v>395000</v>
      </c>
      <c r="D20" s="101" t="n"/>
    </row>
    <row r="21" ht="15" customHeight="1" s="89">
      <c r="A21" s="101" t="inlineStr">
        <is>
          <t>EBITDA (or calculate)</t>
        </is>
      </c>
      <c r="B21" s="104" t="n">
        <v>1550000</v>
      </c>
      <c r="C21" s="104" t="n">
        <v>1320000</v>
      </c>
      <c r="D21" s="101" t="n"/>
    </row>
    <row r="22" ht="15" customHeight="1" s="89">
      <c r="A22" s="101" t="inlineStr">
        <is>
          <t>EBITDAR (EBITDA + Rent)</t>
        </is>
      </c>
      <c r="B22" s="104" t="n">
        <v>2270000</v>
      </c>
      <c r="C22" s="104" t="n">
        <v>2020000</v>
      </c>
      <c r="D22" s="101" t="n"/>
    </row>
    <row r="23" ht="15" customHeight="1" s="89">
      <c r="A23" s="101" t="inlineStr">
        <is>
          <t>Net Income (Loss)</t>
        </is>
      </c>
      <c r="B23" s="104" t="n">
        <v>320000</v>
      </c>
      <c r="C23" s="104" t="n">
        <v>185000</v>
      </c>
      <c r="D23" s="101" t="n"/>
    </row>
    <row r="24" ht="15" customHeight="1" s="89">
      <c r="A24" s="101" t="inlineStr">
        <is>
          <t>Total Assets</t>
        </is>
      </c>
      <c r="B24" s="104" t="n">
        <v>9800000</v>
      </c>
      <c r="C24" s="104" t="n">
        <v>9600000</v>
      </c>
      <c r="D24" s="101" t="n"/>
    </row>
    <row r="25" ht="15" customHeight="1" s="89">
      <c r="A25" s="101" t="inlineStr">
        <is>
          <t>Current Assets</t>
        </is>
      </c>
      <c r="B25" s="104" t="n">
        <v>2100000</v>
      </c>
      <c r="C25" s="104" t="n">
        <v>1950000</v>
      </c>
      <c r="D25" s="101" t="n"/>
    </row>
    <row r="26" ht="15" customHeight="1" s="89">
      <c r="A26" s="101" t="inlineStr">
        <is>
          <t>Cash &amp; Equivalents</t>
        </is>
      </c>
      <c r="B26" s="104" t="n">
        <v>480000</v>
      </c>
      <c r="C26" s="104" t="n">
        <v>390000</v>
      </c>
      <c r="D26" s="101" t="n"/>
    </row>
    <row r="27" ht="15" customHeight="1" s="89">
      <c r="A27" s="101" t="inlineStr">
        <is>
          <t>Accounts Receivable (Net)</t>
        </is>
      </c>
      <c r="B27" s="104" t="n">
        <v>1350000</v>
      </c>
      <c r="C27" s="104" t="n">
        <v>1420000</v>
      </c>
      <c r="D27" s="101" t="n"/>
    </row>
    <row r="28" ht="15" customHeight="1" s="89">
      <c r="A28" s="101" t="inlineStr">
        <is>
          <t>Total Liabilities</t>
        </is>
      </c>
      <c r="B28" s="104" t="n">
        <v>7200000</v>
      </c>
      <c r="C28" s="104" t="n">
        <v>7400000</v>
      </c>
      <c r="D28" s="101" t="n"/>
    </row>
    <row r="29" ht="15" customHeight="1" s="89">
      <c r="A29" s="101" t="inlineStr">
        <is>
          <t>Current Liabilities</t>
        </is>
      </c>
      <c r="B29" s="104" t="n">
        <v>1450000</v>
      </c>
      <c r="C29" s="104" t="n">
        <v>1520000</v>
      </c>
      <c r="D29" s="101" t="n"/>
    </row>
    <row r="30" ht="15" customHeight="1" s="89">
      <c r="A30" s="101" t="inlineStr">
        <is>
          <t>Long-Term Debt</t>
        </is>
      </c>
      <c r="B30" s="104" t="n">
        <v>5100000</v>
      </c>
      <c r="C30" s="104" t="n">
        <v>5300000</v>
      </c>
      <c r="D30" s="101" t="n"/>
    </row>
    <row r="31" ht="15" customHeight="1" s="89">
      <c r="A31" s="101" t="inlineStr">
        <is>
          <t>Total Equity / Net Assets</t>
        </is>
      </c>
      <c r="B31" s="104" t="n">
        <v>2600000</v>
      </c>
      <c r="C31" s="104" t="n">
        <v>2200000</v>
      </c>
      <c r="D31" s="101" t="n"/>
    </row>
    <row r="32" ht="15" customHeight="1" s="89">
      <c r="A32" s="101" t="inlineStr">
        <is>
          <t>Annual Debt Service (P+I)</t>
        </is>
      </c>
      <c r="B32" s="104" t="n">
        <v>980000</v>
      </c>
      <c r="C32" s="104" t="n">
        <v>995000</v>
      </c>
      <c r="D32" s="101" t="n"/>
    </row>
    <row r="33" ht="15" customHeight="1" s="89">
      <c r="A33" s="101" t="inlineStr">
        <is>
          <t>Capital Expenditures (Cash)</t>
        </is>
      </c>
      <c r="B33" s="104" t="n">
        <v>310000</v>
      </c>
      <c r="C33" s="104" t="n">
        <v>280000</v>
      </c>
      <c r="D33" s="101" t="n"/>
    </row>
    <row r="36" ht="15" customHeight="1" s="89">
      <c r="A36" s="97" t="inlineStr">
        <is>
          <t>KEY CALCULATED RATIOS (auto)</t>
        </is>
      </c>
    </row>
    <row r="37" ht="15" customHeight="1" s="89">
      <c r="A37" s="99" t="inlineStr">
        <is>
          <t>Ratio</t>
        </is>
      </c>
      <c r="B37" s="99" t="inlineStr">
        <is>
          <t>Most Recent FY</t>
        </is>
      </c>
      <c r="C37" s="99" t="inlineStr">
        <is>
          <t>Prior FY</t>
        </is>
      </c>
      <c r="D37" s="99" t="inlineStr">
        <is>
          <t>Formula / Benchmark Note</t>
        </is>
      </c>
    </row>
    <row r="38" ht="15" customHeight="1" s="89">
      <c r="A38" s="101" t="inlineStr">
        <is>
          <t>Operating Margin %</t>
        </is>
      </c>
      <c r="B38" s="105">
        <f>IF(B7=0,"", (B7-B12)/B7)</f>
        <v/>
      </c>
      <c r="C38" s="101" t="n"/>
      <c r="D38" s="101" t="inlineStr">
        <is>
          <t>Target &gt;0%; median ~2-3%</t>
        </is>
      </c>
    </row>
    <row r="39" ht="15" customHeight="1" s="89">
      <c r="A39" s="101" t="inlineStr">
        <is>
          <t>EBITDA Margin %</t>
        </is>
      </c>
      <c r="B39" s="105">
        <f>IF(B7=0,"",B21/B7)</f>
        <v/>
      </c>
      <c r="C39" s="101" t="n"/>
      <c r="D39" s="101" t="inlineStr">
        <is>
          <t>Target 8-13%</t>
        </is>
      </c>
    </row>
    <row r="40" ht="15" customHeight="1" s="89">
      <c r="A40" s="101" t="inlineStr">
        <is>
          <t>EBITDAR Margin %</t>
        </is>
      </c>
      <c r="B40" s="105">
        <f>IF(B7=0,"",B22/B7)</f>
        <v/>
      </c>
      <c r="C40" s="101" t="n"/>
      <c r="D40" s="101" t="inlineStr">
        <is>
          <t>Primary valuation metric</t>
        </is>
      </c>
    </row>
    <row r="41" ht="15" customHeight="1" s="89">
      <c r="A41" s="101" t="inlineStr">
        <is>
          <t>Net Margin %</t>
        </is>
      </c>
      <c r="B41" s="105">
        <f>IF(B7=0,"",B23/B7)</f>
        <v/>
      </c>
      <c r="C41" s="101" t="n"/>
      <c r="D41" s="101" t="inlineStr">
        <is>
          <t>Median ~2.8%</t>
        </is>
      </c>
    </row>
    <row r="42" ht="15" customHeight="1" s="89">
      <c r="A42" s="101" t="inlineStr">
        <is>
          <t>DSCR (x)</t>
        </is>
      </c>
      <c r="B42" s="106">
        <f>IF(B32=0,"", (B21)/B32)</f>
        <v/>
      </c>
      <c r="C42" s="101" t="n"/>
      <c r="D42" s="101" t="inlineStr">
        <is>
          <t>Lender floor often 1.20-1.25x; median ~1.18x</t>
        </is>
      </c>
    </row>
    <row r="43" ht="15" customHeight="1" s="89">
      <c r="A43" s="101" t="inlineStr">
        <is>
          <t>Interest Coverage (x)</t>
        </is>
      </c>
      <c r="B43" s="106">
        <f>IF(B20=0,"",B21/B20)</f>
        <v/>
      </c>
      <c r="C43" s="101" t="n"/>
      <c r="D43" s="101" t="inlineStr">
        <is>
          <t>Target &gt;2.0x</t>
        </is>
      </c>
    </row>
    <row r="44" ht="15" customHeight="1" s="89">
      <c r="A44" s="101" t="inlineStr">
        <is>
          <t>Debt / EBITDA (x)</t>
        </is>
      </c>
      <c r="B44" s="106">
        <f>IF(B21=0,"",B30/B21)</f>
        <v/>
      </c>
      <c r="C44" s="101" t="n"/>
      <c r="D44" s="101" t="inlineStr">
        <is>
          <t>Watch &gt;5.0-5.5x</t>
        </is>
      </c>
    </row>
    <row r="45" ht="15" customHeight="1" s="89">
      <c r="A45" s="101" t="inlineStr">
        <is>
          <t>Current Ratio</t>
        </is>
      </c>
      <c r="B45" s="106">
        <f>IF(B29=0,"",B25/B29)</f>
        <v/>
      </c>
      <c r="C45" s="101" t="n"/>
      <c r="D45" s="101" t="inlineStr">
        <is>
          <t>Target &gt;1.10x</t>
        </is>
      </c>
    </row>
    <row r="46" ht="15" customHeight="1" s="89">
      <c r="A46" s="101" t="inlineStr">
        <is>
          <t>Days Cash on Hand</t>
        </is>
      </c>
      <c r="B46" s="107">
        <f>IF(B12=0,"",B26/(B12/365))</f>
        <v/>
      </c>
      <c r="C46" s="101" t="n"/>
      <c r="D46" s="101" t="inlineStr">
        <is>
          <t>Higher is safer</t>
        </is>
      </c>
    </row>
    <row r="47" ht="15" customHeight="1" s="89">
      <c r="A47" s="101" t="inlineStr">
        <is>
          <t>Days in AR</t>
        </is>
      </c>
      <c r="B47" s="107">
        <f>IF(B7=0,"",B27/(B7/365))</f>
        <v/>
      </c>
      <c r="C47" s="101" t="n"/>
      <c r="D47" s="101" t="inlineStr">
        <is>
          <t>Target &lt;45-50 days</t>
        </is>
      </c>
    </row>
    <row r="48" ht="15" customHeight="1" s="89">
      <c r="A48" s="101" t="inlineStr">
        <is>
          <t>Labor Cost % of Revenue</t>
        </is>
      </c>
      <c r="B48" s="105">
        <f>IF(B7=0,"",(B13+B14+B15)/B7)</f>
        <v/>
      </c>
      <c r="C48" s="101" t="n"/>
      <c r="D48" s="101" t="inlineStr">
        <is>
          <t>Typically 55-65%</t>
        </is>
      </c>
    </row>
    <row r="49" ht="15" customHeight="1" s="89">
      <c r="A49" s="101" t="inlineStr">
        <is>
          <t>Agency Labor % of Total Labor</t>
        </is>
      </c>
      <c r="B49" s="105">
        <f>IF((B13+B15)=0,"",B15/(B13+B15))</f>
        <v/>
      </c>
      <c r="C49" s="101" t="n"/>
      <c r="D49" s="101" t="inlineStr">
        <is>
          <t>Red flag &gt;20-25%</t>
        </is>
      </c>
    </row>
    <row r="51" ht="15" customHeight="1" s="89">
      <c r="A51" s="97" t="inlineStr">
        <is>
          <t>MULTI-YEAR TREND NOTES (optional free text)</t>
        </is>
      </c>
    </row>
    <row r="52" ht="15" customHeight="1" s="89">
      <c r="A52" s="102" t="inlineStr">
        <is>
          <t>Revenue trend, margin trajectory, debt service changes, one-time items, COVID recovery notes, etc.</t>
        </is>
      </c>
      <c r="B52" s="108" t="n"/>
      <c r="C52" s="108" t="n"/>
      <c r="D52" s="109" t="n"/>
    </row>
    <row r="53" ht="15" customHeight="1" s="89">
      <c r="A53" s="110" t="n"/>
      <c r="D53" s="111" t="n"/>
    </row>
    <row r="54" ht="15" customHeight="1" s="89">
      <c r="A54" s="110" t="n"/>
      <c r="D54" s="111" t="n"/>
    </row>
    <row r="55" ht="15" customHeight="1" s="89">
      <c r="A55" s="112" t="n"/>
      <c r="B55" s="113" t="n"/>
      <c r="C55" s="113" t="n"/>
      <c r="D55" s="114" t="n"/>
    </row>
  </sheetData>
  <mergeCells count="6">
    <mergeCell ref="A5:D5"/>
    <mergeCell ref="A52:D55"/>
    <mergeCell ref="A1:F1"/>
    <mergeCell ref="A51:D51"/>
    <mergeCell ref="A3:F3"/>
    <mergeCell ref="A36:D36"/>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E28"/>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50" customWidth="1" style="88" min="1" max="1"/>
    <col width="18" customWidth="1" style="88" min="2" max="2"/>
    <col width="15" customWidth="1" style="88" min="3" max="3"/>
    <col width="40" customWidth="1" style="88" min="4" max="4"/>
  </cols>
  <sheetData>
    <row r="1" ht="19.5" customHeight="1" s="89">
      <c r="A1" s="98" t="inlineStr">
        <is>
          <t>OPERATIONAL INPUTS — OCCUPANCY, PAYER MIX, CENSUS</t>
        </is>
      </c>
    </row>
    <row r="3" ht="15" customHeight="1" s="89">
      <c r="A3" s="97" t="inlineStr">
        <is>
          <t>OCCUPANCY &amp; CENSUS</t>
        </is>
      </c>
    </row>
    <row r="4" ht="15" customHeight="1" s="89">
      <c r="A4" s="99" t="inlineStr">
        <is>
          <t>Metric</t>
        </is>
      </c>
      <c r="B4" s="99" t="inlineStr">
        <is>
          <t>Value</t>
        </is>
      </c>
      <c r="C4" s="99" t="inlineStr">
        <is>
          <t>Prior Period</t>
        </is>
      </c>
      <c r="D4" s="99" t="inlineStr">
        <is>
          <t>Notes / Benchmark</t>
        </is>
      </c>
    </row>
    <row r="5" ht="15" customHeight="1" s="89">
      <c r="A5" s="101" t="inlineStr">
        <is>
          <t>Certified Beds</t>
        </is>
      </c>
      <c r="B5" s="102" t="n">
        <v>120</v>
      </c>
      <c r="C5" s="102" t="n"/>
      <c r="D5" s="101" t="inlineStr">
        <is>
          <t>From profile</t>
        </is>
      </c>
    </row>
    <row r="6" ht="15" customHeight="1" s="89">
      <c r="A6" s="101" t="inlineStr">
        <is>
          <t>Average Daily Census (ADC)</t>
        </is>
      </c>
      <c r="B6" s="102" t="n">
        <v>98</v>
      </c>
      <c r="C6" s="102" t="n"/>
      <c r="D6" s="101" t="n"/>
    </row>
    <row r="7" ht="15" customHeight="1" s="89">
      <c r="A7" s="101" t="inlineStr">
        <is>
          <t>Occupancy Rate %</t>
        </is>
      </c>
      <c r="B7" s="115">
        <f>IF(B5=0,"",B6/B5)</f>
        <v/>
      </c>
      <c r="C7" s="101" t="n"/>
      <c r="D7" s="101" t="inlineStr">
        <is>
          <t>Target ≥80-85%; watch &lt;75-78%</t>
        </is>
      </c>
    </row>
    <row r="8" ht="15" customHeight="1" s="89">
      <c r="A8" s="101" t="inlineStr">
        <is>
          <t>Medicare Census % of Occupied</t>
        </is>
      </c>
      <c r="B8" s="116" t="n">
        <v>0.22</v>
      </c>
      <c r="C8" s="102" t="n"/>
      <c r="D8" s="101" t="inlineStr">
        <is>
          <t>Target ≥15-20%</t>
        </is>
      </c>
    </row>
    <row r="9" ht="15" customHeight="1" s="89">
      <c r="A9" s="101" t="inlineStr">
        <is>
          <t>Medicaid Census % of Occupied</t>
        </is>
      </c>
      <c r="B9" s="116" t="n">
        <v>0.58</v>
      </c>
      <c r="C9" s="102" t="n"/>
      <c r="D9" s="101" t="inlineStr">
        <is>
          <t>Watch &gt;70-75%</t>
        </is>
      </c>
    </row>
    <row r="10" ht="15" customHeight="1" s="89">
      <c r="A10" s="101" t="inlineStr">
        <is>
          <t>Private Pay + Managed Care %</t>
        </is>
      </c>
      <c r="B10" s="116" t="n">
        <v>0.2</v>
      </c>
      <c r="C10" s="102" t="n"/>
      <c r="D10" s="101" t="inlineStr">
        <is>
          <t>Target ≥10-15%</t>
        </is>
      </c>
    </row>
    <row r="11" ht="15" customHeight="1" s="89">
      <c r="A11" s="101" t="inlineStr">
        <is>
          <t>Average Length of Stay (Medicare days)</t>
        </is>
      </c>
      <c r="B11" s="102" t="n">
        <v>24</v>
      </c>
      <c r="C11" s="102" t="n"/>
      <c r="D11" s="101" t="n"/>
    </row>
    <row r="12" ht="15" customHeight="1" s="89">
      <c r="A12" s="101" t="inlineStr">
        <is>
          <t>Average Length of Stay (Total)</t>
        </is>
      </c>
      <c r="B12" s="102" t="n">
        <v>95</v>
      </c>
      <c r="C12" s="102" t="n"/>
      <c r="D12" s="101" t="n"/>
    </row>
    <row r="13" ht="15" customHeight="1" s="89">
      <c r="A13" s="101" t="inlineStr">
        <is>
          <t>Admissions (annual)</t>
        </is>
      </c>
      <c r="B13" s="102" t="n">
        <v>410</v>
      </c>
      <c r="C13" s="102" t="n"/>
      <c r="D13" s="101" t="n"/>
    </row>
    <row r="14" ht="15" customHeight="1" s="89">
      <c r="A14" s="101" t="inlineStr">
        <is>
          <t>Discharges (annual)</t>
        </is>
      </c>
      <c r="B14" s="102" t="n">
        <v>395</v>
      </c>
      <c r="C14" s="102" t="n"/>
      <c r="D14" s="101" t="n"/>
    </row>
    <row r="16" ht="15" customHeight="1" s="89">
      <c r="A16" s="97" t="inlineStr">
        <is>
          <t>PAYER MIX — REVENUE %</t>
        </is>
      </c>
    </row>
    <row r="17" ht="15" customHeight="1" s="89">
      <c r="A17" s="99" t="inlineStr">
        <is>
          <t>Payer</t>
        </is>
      </c>
      <c r="B17" s="99" t="inlineStr">
        <is>
          <t>% of Revenue</t>
        </is>
      </c>
      <c r="C17" s="99" t="inlineStr">
        <is>
          <t>% of Census</t>
        </is>
      </c>
      <c r="D17" s="99" t="inlineStr">
        <is>
          <t>Notes</t>
        </is>
      </c>
    </row>
    <row r="18" ht="15" customHeight="1" s="89">
      <c r="A18" s="101" t="inlineStr">
        <is>
          <t>Medicare FFS (Part A)</t>
        </is>
      </c>
      <c r="B18" s="116" t="n">
        <v>0.26</v>
      </c>
      <c r="C18" s="116" t="n">
        <v>0.18</v>
      </c>
      <c r="D18" s="101" t="n"/>
    </row>
    <row r="19" ht="15" customHeight="1" s="89">
      <c r="A19" s="101" t="inlineStr">
        <is>
          <t>Medicare Advantage</t>
        </is>
      </c>
      <c r="B19" s="116" t="n">
        <v>0.08</v>
      </c>
      <c r="C19" s="116" t="n">
        <v>0.06</v>
      </c>
      <c r="D19" s="101" t="n"/>
    </row>
    <row r="20" ht="15" customHeight="1" s="89">
      <c r="A20" s="101" t="inlineStr">
        <is>
          <t>Medicaid</t>
        </is>
      </c>
      <c r="B20" s="116" t="n">
        <v>0.52</v>
      </c>
      <c r="C20" s="116" t="n">
        <v>0.58</v>
      </c>
      <c r="D20" s="101" t="n"/>
    </row>
    <row r="21" ht="15" customHeight="1" s="89">
      <c r="A21" s="101" t="inlineStr">
        <is>
          <t>Private Pay</t>
        </is>
      </c>
      <c r="B21" s="116" t="n">
        <v>0.09</v>
      </c>
      <c r="C21" s="116" t="n">
        <v>0.12</v>
      </c>
      <c r="D21" s="101" t="n"/>
    </row>
    <row r="22" ht="15" customHeight="1" s="89">
      <c r="A22" s="101" t="inlineStr">
        <is>
          <t>Managed Care / Other</t>
        </is>
      </c>
      <c r="B22" s="116" t="n">
        <v>0.05</v>
      </c>
      <c r="C22" s="116" t="n">
        <v>0.06</v>
      </c>
      <c r="D22" s="101" t="n"/>
    </row>
    <row r="23" ht="15" customHeight="1" s="89">
      <c r="A23" s="101" t="inlineStr">
        <is>
          <t>TOTAL (should = 100%)</t>
        </is>
      </c>
      <c r="B23" s="117">
        <f>SUM(B18:B22)</f>
        <v/>
      </c>
      <c r="C23" s="117">
        <f>SUM(C18:C22)</f>
        <v/>
      </c>
      <c r="D23" s="101" t="n"/>
    </row>
    <row r="25" ht="15" customHeight="1" s="89">
      <c r="A25" s="97" t="inlineStr">
        <is>
          <t>REFERRAL &amp; MARKET</t>
        </is>
      </c>
    </row>
    <row r="26" ht="15" customHeight="1" s="89">
      <c r="A26" s="88" t="inlineStr">
        <is>
          <t>Top Referral Source Concentration (% of admissions)</t>
        </is>
      </c>
      <c r="B26" s="116" t="n">
        <v>0.38</v>
      </c>
    </row>
    <row r="27" ht="15" customHeight="1" s="89">
      <c r="A27" s="88" t="inlineStr">
        <is>
          <t>Number of Significant Referral Hospitals</t>
        </is>
      </c>
      <c r="B27" s="102" t="n">
        <v>3</v>
      </c>
    </row>
    <row r="28" ht="15" customHeight="1" s="89">
      <c r="A28" s="88" t="inlineStr">
        <is>
          <t>Market Occupancy (county/CBSA avg if known)</t>
        </is>
      </c>
      <c r="B28" s="116" t="n">
        <v>0.8100000000000001</v>
      </c>
    </row>
  </sheetData>
  <mergeCells count="4">
    <mergeCell ref="A16:D16"/>
    <mergeCell ref="A1:E1"/>
    <mergeCell ref="A3:D3"/>
    <mergeCell ref="A25:D25"/>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E37"/>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55" customWidth="1" style="88" min="1" max="1"/>
    <col width="15" customWidth="1" style="88" min="2" max="2"/>
    <col width="18" customWidth="1" style="88" min="3" max="3"/>
    <col width="35" customWidth="1" style="88" min="4" max="4"/>
  </cols>
  <sheetData>
    <row r="1" ht="19.5" customHeight="1" s="89">
      <c r="A1" s="98" t="inlineStr">
        <is>
          <t>STAFFING, QUALITY MEASURES &amp; REGULATORY RISK</t>
        </is>
      </c>
    </row>
    <row r="3" ht="15" customHeight="1" s="89">
      <c r="A3" s="97" t="inlineStr">
        <is>
          <t>STAFFING (from PBJ / Care Compare)</t>
        </is>
      </c>
    </row>
    <row r="4" ht="26.25" customHeight="1" s="89">
      <c r="A4" s="99" t="inlineStr">
        <is>
          <t>Metric</t>
        </is>
      </c>
      <c r="B4" s="99" t="inlineStr">
        <is>
          <t>Value</t>
        </is>
      </c>
      <c r="C4" s="99" t="inlineStr">
        <is>
          <t>CMS / State Benchmark</t>
        </is>
      </c>
      <c r="D4" s="99" t="inlineStr">
        <is>
          <t>Notes</t>
        </is>
      </c>
    </row>
    <row r="5" ht="15" customHeight="1" s="89">
      <c r="A5" s="101" t="inlineStr">
        <is>
          <t>Total Nurse HPPD (case-mix adjusted)</t>
        </is>
      </c>
      <c r="B5" s="102" t="n">
        <v>3.65</v>
      </c>
      <c r="C5" s="101" t="n"/>
      <c r="D5" s="101" t="inlineStr">
        <is>
          <t>CMS minimums apply; higher better</t>
        </is>
      </c>
    </row>
    <row r="6" ht="15" customHeight="1" s="89">
      <c r="A6" s="101" t="inlineStr">
        <is>
          <t>RN HPPD (case-mix adjusted)</t>
        </is>
      </c>
      <c r="B6" s="102" t="n">
        <v>0.58</v>
      </c>
      <c r="C6" s="101" t="n"/>
      <c r="D6" s="101" t="inlineStr">
        <is>
          <t>Critical for clinical quality</t>
        </is>
      </c>
    </row>
    <row r="7" ht="15" customHeight="1" s="89">
      <c r="A7" s="101" t="inlineStr">
        <is>
          <t>LPN/LVN HPPD</t>
        </is>
      </c>
      <c r="B7" s="102" t="n">
        <v>0.85</v>
      </c>
      <c r="C7" s="101" t="n"/>
      <c r="D7" s="101" t="n"/>
    </row>
    <row r="8" ht="15" customHeight="1" s="89">
      <c r="A8" s="101" t="inlineStr">
        <is>
          <t>CNA / Nurse Aide HPPD</t>
        </is>
      </c>
      <c r="B8" s="102" t="n">
        <v>2.22</v>
      </c>
      <c r="C8" s="101" t="n"/>
      <c r="D8" s="101" t="n"/>
    </row>
    <row r="9" ht="15" customHeight="1" s="89">
      <c r="A9" s="101" t="inlineStr">
        <is>
          <t>Total Nursing Staff Turnover %</t>
        </is>
      </c>
      <c r="B9" s="116" t="n">
        <v>0.48</v>
      </c>
      <c r="C9" s="101" t="n"/>
      <c r="D9" s="101" t="inlineStr">
        <is>
          <t>Lower better; VBP measure</t>
        </is>
      </c>
    </row>
    <row r="10" ht="15" customHeight="1" s="89">
      <c r="A10" s="101" t="inlineStr">
        <is>
          <t>RN Turnover %</t>
        </is>
      </c>
      <c r="B10" s="116" t="n">
        <v>0.52</v>
      </c>
      <c r="C10" s="101" t="n"/>
      <c r="D10" s="101" t="n"/>
    </row>
    <row r="11" ht="15" customHeight="1" s="89">
      <c r="A11" s="101" t="inlineStr">
        <is>
          <t>Agency Hours as % of Total Nursing Hours</t>
        </is>
      </c>
      <c r="B11" s="116" t="n">
        <v>0.18</v>
      </c>
      <c r="C11" s="101" t="n"/>
      <c r="D11" s="101" t="inlineStr">
        <is>
          <t>Red flag &gt;20-25%</t>
        </is>
      </c>
    </row>
    <row r="12" ht="15" customHeight="1" s="89">
      <c r="A12" s="101" t="inlineStr">
        <is>
          <t>Weekend Staffing Gap (vs weekday)</t>
        </is>
      </c>
      <c r="B12" s="116" t="n">
        <v>0.12</v>
      </c>
      <c r="C12" s="101" t="n"/>
      <c r="D12" s="101" t="n"/>
    </row>
    <row r="13" ht="15" customHeight="1" s="89">
      <c r="A13" s="101" t="inlineStr">
        <is>
          <t>Staffing Star Rating (1-5)</t>
        </is>
      </c>
      <c r="B13" s="102" t="n">
        <v>3</v>
      </c>
      <c r="C13" s="101" t="n"/>
      <c r="D13" s="101" t="inlineStr">
        <is>
          <t>From Care Compare</t>
        </is>
      </c>
    </row>
    <row r="15" ht="15" customHeight="1" s="89">
      <c r="A15" s="97" t="inlineStr">
        <is>
          <t>QUALITY &amp; OUTCOMES (Care Compare / SNF QRP / VBP)</t>
        </is>
      </c>
    </row>
    <row r="16" ht="15" customHeight="1" s="89">
      <c r="A16" s="99" t="inlineStr">
        <is>
          <t>Metric</t>
        </is>
      </c>
      <c r="B16" s="99" t="inlineStr">
        <is>
          <t>Value</t>
        </is>
      </c>
      <c r="C16" s="99" t="inlineStr">
        <is>
          <t>National / Peer</t>
        </is>
      </c>
      <c r="D16" s="99" t="inlineStr">
        <is>
          <t>Notes</t>
        </is>
      </c>
    </row>
    <row r="17" ht="15" customHeight="1" s="89">
      <c r="A17" s="101" t="inlineStr">
        <is>
          <t>Overall 5-Star Rating</t>
        </is>
      </c>
      <c r="B17" s="102" t="n">
        <v>3</v>
      </c>
      <c r="C17" s="101" t="n"/>
      <c r="D17" s="101" t="n"/>
    </row>
    <row r="18" ht="15" customHeight="1" s="89">
      <c r="A18" s="101" t="inlineStr">
        <is>
          <t>Health Inspection Star Rating</t>
        </is>
      </c>
      <c r="B18" s="102" t="n">
        <v>3</v>
      </c>
      <c r="C18" s="101" t="n"/>
      <c r="D18" s="101" t="n"/>
    </row>
    <row r="19" ht="15" customHeight="1" s="89">
      <c r="A19" s="101" t="inlineStr">
        <is>
          <t>Quality Measure Star Rating</t>
        </is>
      </c>
      <c r="B19" s="102" t="n">
        <v>4</v>
      </c>
      <c r="C19" s="101" t="n"/>
      <c r="D19" s="101" t="n"/>
    </row>
    <row r="20" ht="15" customHeight="1" s="89">
      <c r="A20" s="101" t="inlineStr">
        <is>
          <t>30-Day All-Cause Readmission Rate (SNFRM)</t>
        </is>
      </c>
      <c r="B20" s="116" t="n">
        <v>0.142</v>
      </c>
      <c r="C20" s="101" t="n"/>
      <c r="D20" s="101" t="inlineStr">
        <is>
          <t>Lower better</t>
        </is>
      </c>
    </row>
    <row r="21" ht="15" customHeight="1" s="89">
      <c r="A21" s="101" t="inlineStr">
        <is>
          <t>SNF HAI Rate (infections requiring hosp)</t>
        </is>
      </c>
      <c r="B21" s="116" t="n">
        <v>0.038</v>
      </c>
      <c r="C21" s="101" t="n"/>
      <c r="D21" s="101" t="inlineStr">
        <is>
          <t>Lower better</t>
        </is>
      </c>
    </row>
    <row r="22" ht="15" customHeight="1" s="89">
      <c r="A22" s="101" t="inlineStr">
        <is>
          <t>Discharge to Community Rate</t>
        </is>
      </c>
      <c r="B22" s="116" t="n">
        <v>0.51</v>
      </c>
      <c r="C22" s="101" t="n"/>
      <c r="D22" s="101" t="inlineStr">
        <is>
          <t>Higher better</t>
        </is>
      </c>
    </row>
    <row r="23" ht="15" customHeight="1" s="89">
      <c r="A23" s="101" t="inlineStr">
        <is>
          <t>Long-Stay Hospitalization per 1,000 days</t>
        </is>
      </c>
      <c r="B23" s="102" t="n">
        <v>1.8</v>
      </c>
      <c r="C23" s="101" t="n"/>
      <c r="D23" s="101" t="n"/>
    </row>
    <row r="24" ht="15" customHeight="1" s="89">
      <c r="A24" s="101" t="inlineStr">
        <is>
          <t>Falls with Major Injury (long-stay) %</t>
        </is>
      </c>
      <c r="B24" s="116" t="n">
        <v>0.028</v>
      </c>
      <c r="C24" s="101" t="n"/>
      <c r="D24" s="101" t="n"/>
    </row>
    <row r="25" ht="15" customHeight="1" s="89">
      <c r="A25" s="101" t="inlineStr">
        <is>
          <t>Pressure Ulcer Rate (high-risk)</t>
        </is>
      </c>
      <c r="B25" s="116" t="n">
        <v>0.041</v>
      </c>
      <c r="C25" s="101" t="n"/>
      <c r="D25" s="101" t="n"/>
    </row>
    <row r="26" ht="15" customHeight="1" s="89">
      <c r="A26" s="101" t="inlineStr">
        <is>
          <t>Antipsychotic Use (long-stay) %</t>
        </is>
      </c>
      <c r="B26" s="116" t="n">
        <v>0.135</v>
      </c>
      <c r="C26" s="101" t="n"/>
      <c r="D26" s="101" t="n"/>
    </row>
    <row r="28" ht="15" customHeight="1" s="89">
      <c r="A28" s="97" t="inlineStr">
        <is>
          <t>HEALTH INSPECTIONS &amp; DEFICIENCIES</t>
        </is>
      </c>
    </row>
    <row r="29" ht="15" customHeight="1" s="89">
      <c r="A29" s="99" t="inlineStr">
        <is>
          <t>Metric</t>
        </is>
      </c>
      <c r="B29" s="99" t="inlineStr">
        <is>
          <t>Value</t>
        </is>
      </c>
      <c r="C29" s="99" t="inlineStr">
        <is>
          <t>Notes</t>
        </is>
      </c>
    </row>
    <row r="30" ht="15" customHeight="1" s="89">
      <c r="A30" s="101" t="inlineStr">
        <is>
          <t>Total Health Deficiencies (most recent cycle)</t>
        </is>
      </c>
      <c r="B30" s="102" t="n">
        <v>8</v>
      </c>
      <c r="C30" s="101" t="n"/>
    </row>
    <row r="31" ht="15" customHeight="1" s="89">
      <c r="A31" s="101" t="inlineStr">
        <is>
          <t>Immediate Jeopardy (IJ) citations (last 3 yrs)</t>
        </is>
      </c>
      <c r="B31" s="102" t="n">
        <v>0</v>
      </c>
      <c r="C31" s="101" t="n"/>
    </row>
    <row r="32" ht="15" customHeight="1" s="89">
      <c r="A32" s="101" t="inlineStr">
        <is>
          <t>G-level or higher scope/severity count</t>
        </is>
      </c>
      <c r="B32" s="102" t="n">
        <v>2</v>
      </c>
      <c r="C32" s="101" t="n"/>
    </row>
    <row r="33" ht="15" customHeight="1" s="89">
      <c r="A33" s="101" t="inlineStr">
        <is>
          <t>Infection Control (F880) citations</t>
        </is>
      </c>
      <c r="B33" s="102" t="n">
        <v>1</v>
      </c>
      <c r="C33" s="101" t="n"/>
    </row>
    <row r="34" ht="15" customHeight="1" s="89">
      <c r="A34" s="101" t="inlineStr">
        <is>
          <t>Accident / Supervision (F689) citations</t>
        </is>
      </c>
      <c r="B34" s="102" t="n">
        <v>1</v>
      </c>
      <c r="C34" s="101" t="n"/>
    </row>
    <row r="35" ht="15" customHeight="1" s="89">
      <c r="A35" s="101" t="inlineStr">
        <is>
          <t>Quality of Care (F684) citations</t>
        </is>
      </c>
      <c r="B35" s="102" t="n">
        <v>0</v>
      </c>
      <c r="C35" s="101" t="n"/>
    </row>
    <row r="36" ht="15" customHeight="1" s="89">
      <c r="A36" s="101" t="inlineStr">
        <is>
          <t>Civil Money Penalties ($ last 3 yrs)</t>
        </is>
      </c>
      <c r="B36" s="104" t="n">
        <v>12500</v>
      </c>
      <c r="C36" s="101" t="n"/>
    </row>
    <row r="37" ht="15" customHeight="1" s="89">
      <c r="A37" s="101" t="inlineStr">
        <is>
          <t>Payment Denial / Denial of Payment for New Admissions (Y/N)</t>
        </is>
      </c>
      <c r="B37" s="102" t="inlineStr">
        <is>
          <t>N</t>
        </is>
      </c>
      <c r="C37" s="101" t="n"/>
    </row>
  </sheetData>
  <mergeCells count="4">
    <mergeCell ref="A15:D15"/>
    <mergeCell ref="A28:D28"/>
    <mergeCell ref="A1:E1"/>
    <mergeCell ref="A3:D3"/>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E55"/>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70" customWidth="1" style="88" min="1" max="1"/>
    <col width="20" customWidth="1" style="88" min="2" max="2"/>
    <col width="35" customWidth="1" style="88" min="3" max="3"/>
  </cols>
  <sheetData>
    <row r="1" ht="19.5" customHeight="1" s="89">
      <c r="A1" s="98" t="inlineStr">
        <is>
          <t>DOCUMENTATION &amp; REVENUE INTEGRITY RISK (RevOptix1 / Chart Intelligence Layer)</t>
        </is>
      </c>
    </row>
    <row r="3" ht="15" customHeight="1" s="89">
      <c r="A3" s="103" t="inlineStr">
        <is>
          <t>This sheet captures the 'hidden revenue' and audit-exposure findings that are unique to DRL Holdings methodology. Only chart-supported findings are entered.</t>
        </is>
      </c>
    </row>
    <row r="5" ht="15" customHeight="1" s="89">
      <c r="A5" s="97" t="inlineStr">
        <is>
          <t>SAMPLE &amp; SCOPE</t>
        </is>
      </c>
    </row>
    <row r="6" ht="15" customHeight="1" s="89">
      <c r="A6" s="99" t="inlineStr">
        <is>
          <t>Metric</t>
        </is>
      </c>
      <c r="B6" s="99" t="inlineStr">
        <is>
          <t>Value</t>
        </is>
      </c>
      <c r="C6" s="99" t="inlineStr">
        <is>
          <t>Notes</t>
        </is>
      </c>
    </row>
    <row r="7" ht="15" customHeight="1" s="89">
      <c r="A7" s="101" t="inlineStr">
        <is>
          <t>Number of Charts Reviewed</t>
        </is>
      </c>
      <c r="B7" s="102" t="n">
        <v>48</v>
      </c>
      <c r="C7" s="101" t="n"/>
    </row>
    <row r="8" ht="15" customHeight="1" s="89">
      <c r="A8" s="101" t="inlineStr">
        <is>
          <t>Date Range of Sample</t>
        </is>
      </c>
      <c r="B8" s="102" t="inlineStr">
        <is>
          <t>Jan–Mar 2026</t>
        </is>
      </c>
      <c r="C8" s="101" t="n"/>
    </row>
    <row r="9" ht="15" customHeight="1" s="89">
      <c r="A9" s="101" t="inlineStr">
        <is>
          <t>EMR Source</t>
        </is>
      </c>
      <c r="B9" s="102" t="inlineStr">
        <is>
          <t>PointClickCare</t>
        </is>
      </c>
      <c r="C9" s="101" t="n"/>
    </row>
    <row r="10" ht="15" customHeight="1" s="89">
      <c r="A10" s="101" t="inlineStr">
        <is>
          <t>Reviewer / Team</t>
        </is>
      </c>
      <c r="B10" s="102" t="inlineStr">
        <is>
          <t>DRL / RevOptix1 pilot</t>
        </is>
      </c>
      <c r="C10" s="101" t="n"/>
    </row>
    <row r="11" ht="15" customHeight="1" s="89">
      <c r="A11" s="101" t="inlineStr">
        <is>
          <t>BAA Executed (Y/N)</t>
        </is>
      </c>
      <c r="B11" s="102" t="inlineStr">
        <is>
          <t>Y</t>
        </is>
      </c>
      <c r="C11" s="101" t="n"/>
    </row>
    <row r="13" ht="15" customHeight="1" s="89">
      <c r="A13" s="97" t="inlineStr">
        <is>
          <t>QUANTIFIED FINDINGS (Evidence-Only)</t>
        </is>
      </c>
    </row>
    <row r="14" ht="15" customHeight="1" s="89">
      <c r="A14" s="99" t="inlineStr">
        <is>
          <t>Metric</t>
        </is>
      </c>
      <c r="B14" s="99" t="inlineStr">
        <is>
          <t>Value ($ or %)</t>
        </is>
      </c>
      <c r="C14" s="99" t="inlineStr">
        <is>
          <t>Confidence / Notes</t>
        </is>
      </c>
    </row>
    <row r="15" ht="15" customHeight="1" s="89">
      <c r="A15" s="101" t="inlineStr">
        <is>
          <t>Sample Earned-but-Unbilled / Under-Documented Revenue ($)</t>
        </is>
      </c>
      <c r="B15" s="104" t="n">
        <v>187000</v>
      </c>
      <c r="C15" s="101" t="n"/>
    </row>
    <row r="16" ht="15" customHeight="1" s="89">
      <c r="A16" s="101" t="inlineStr">
        <is>
          <t>Annualized Opportunity Estimate ($)</t>
        </is>
      </c>
      <c r="B16" s="104" t="n">
        <v>620000</v>
      </c>
      <c r="C16" s="101" t="n"/>
    </row>
    <row r="17" ht="15" customHeight="1" s="89">
      <c r="A17" s="101" t="inlineStr">
        <is>
          <t>Opportunity as % of Current Net Patient Revenue</t>
        </is>
      </c>
      <c r="B17" s="116" t="n">
        <v>0.0437</v>
      </c>
      <c r="C17" s="101" t="n"/>
    </row>
    <row r="18" ht="15" customHeight="1" s="89">
      <c r="A18" s="101" t="inlineStr">
        <is>
          <t>Sample Audit Exposure / Unsupported Billed Amount ($)</t>
        </is>
      </c>
      <c r="B18" s="104" t="n">
        <v>42000</v>
      </c>
      <c r="C18" s="101" t="n"/>
    </row>
    <row r="19" ht="15" customHeight="1" s="89">
      <c r="A19" s="101" t="inlineStr">
        <is>
          <t>Annualized Audit Exposure Estimate ($)</t>
        </is>
      </c>
      <c r="B19" s="104" t="n">
        <v>140000</v>
      </c>
      <c r="C19" s="101" t="n"/>
    </row>
    <row r="20" ht="15" customHeight="1" s="89">
      <c r="A20" s="101" t="inlineStr">
        <is>
          <t>Top 3 Documentation Gap Categories (list)</t>
        </is>
      </c>
      <c r="B20" s="102" t="inlineStr">
        <is>
          <t>1) Incomplete diagnosis specificity  2) Therapy minutes under-captured  3) Section GG incomplete</t>
        </is>
      </c>
      <c r="C20" s="101" t="n"/>
    </row>
    <row r="21" ht="15" customHeight="1" s="89">
      <c r="A21" s="101" t="inlineStr">
        <is>
          <t>PDPM / Case-Mix Index Capture Gap (if measured)</t>
        </is>
      </c>
      <c r="B21" s="116" t="n">
        <v>0.08</v>
      </c>
      <c r="C21" s="101" t="n"/>
    </row>
    <row r="22" ht="15" customHeight="1" s="89">
      <c r="A22" s="101" t="inlineStr">
        <is>
          <t>ICD-10 Opportunities Already on File but Not Coded (count)</t>
        </is>
      </c>
      <c r="B22" s="102" t="n">
        <v>37</v>
      </c>
      <c r="C22" s="101" t="n"/>
    </row>
    <row r="24" ht="15" customHeight="1" s="89">
      <c r="A24" s="97" t="inlineStr">
        <is>
          <t>DOCUMENTATION RISK SCORE INPUTS (feeds Score sheet)</t>
        </is>
      </c>
    </row>
    <row r="25" ht="15" customHeight="1" s="89">
      <c r="A25" s="88" t="inlineStr">
        <is>
          <t>Revenue Opportunity Score (0-100) — higher = more recoverable supported revenue</t>
        </is>
      </c>
      <c r="B25" s="102" t="n">
        <v>68</v>
      </c>
    </row>
    <row r="26" ht="15" customHeight="1" s="89">
      <c r="A26" s="88" t="inlineStr">
        <is>
          <t>Documentation Risk Score (0-100) — higher = greater audit / take-back exposure</t>
        </is>
      </c>
      <c r="B26" s="102" t="n">
        <v>42</v>
      </c>
    </row>
    <row r="27" ht="15" customHeight="1" s="89">
      <c r="A27" s="88" t="inlineStr">
        <is>
          <t>Rationale / Key Drivers (short text)</t>
        </is>
      </c>
      <c r="B27" s="102" t="inlineStr">
        <is>
          <t>Moderate opportunity from under-specified diagnoses and GG; audit exposure limited and mostly technical.</t>
        </is>
      </c>
    </row>
    <row r="29" ht="15" customHeight="1" s="89">
      <c r="A29" s="93" t="inlineStr">
        <is>
          <t>These two scores are the bridge between pure financial/operational risk and the chart-level intelligence that DRL Holdings specializes in. They allow lenders and acquirers to see both the downside (audit risk) and the upside (hidden but supported revenue).</t>
        </is>
      </c>
    </row>
    <row r="30" ht="15" customHeight="1" s="89"/>
    <row r="31" ht="15" customHeight="1" s="89"/>
    <row r="33" ht="15" customHeight="1" s="89">
      <c r="A33" s="97" t="inlineStr">
        <is>
          <t>PDPM / CASE-MIX CAPTURE DETAIL (optional expansion)</t>
        </is>
      </c>
    </row>
    <row r="34" ht="15" customHeight="1" s="89">
      <c r="A34" s="99" t="inlineStr">
        <is>
          <t>Metric</t>
        </is>
      </c>
      <c r="B34" s="99" t="inlineStr">
        <is>
          <t>Value</t>
        </is>
      </c>
      <c r="C34" s="99" t="inlineStr">
        <is>
          <t>Notes</t>
        </is>
      </c>
    </row>
    <row r="35" ht="15" customHeight="1" s="89">
      <c r="A35" s="101" t="inlineStr">
        <is>
          <t>Facility PDPM Neutral Rate (if known)</t>
        </is>
      </c>
      <c r="B35" s="102" t="n">
        <v>1.42</v>
      </c>
      <c r="C35" s="101" t="n"/>
    </row>
    <row r="36" ht="15" customHeight="1" s="89">
      <c r="A36" s="101" t="inlineStr">
        <is>
          <t>Observed / Actual CMI or PDPM index</t>
        </is>
      </c>
      <c r="B36" s="102" t="n">
        <v>1.31</v>
      </c>
      <c r="C36" s="101" t="n"/>
    </row>
    <row r="37" ht="15" customHeight="1" s="89">
      <c r="A37" s="101" t="inlineStr">
        <is>
          <t>Gap vs Neutral (pts)</t>
        </is>
      </c>
      <c r="B37" s="118">
        <f>IF(B35=0,"",B36-B35)</f>
        <v/>
      </c>
      <c r="C37" s="101" t="n"/>
    </row>
    <row r="38" ht="15" customHeight="1" s="89">
      <c r="A38" s="101" t="inlineStr">
        <is>
          <t>Estimated $ impact of closing CMI gap (annual)</t>
        </is>
      </c>
      <c r="B38" s="104" t="n">
        <v>185000</v>
      </c>
      <c r="C38" s="101" t="n"/>
    </row>
    <row r="39" ht="15" customHeight="1" s="89">
      <c r="A39" s="101" t="inlineStr">
        <is>
          <t>Primary PDPM component gaps (PT/OT/SLP/Nursing/NTA)</t>
        </is>
      </c>
      <c r="B39" s="102" t="inlineStr">
        <is>
          <t>Nursing component &amp; NTA under-captured; GG scoring conservative</t>
        </is>
      </c>
      <c r="C39" s="101" t="n"/>
    </row>
    <row r="40" ht="15" customHeight="1" s="89">
      <c r="A40" s="101" t="inlineStr">
        <is>
          <t>% of sample with incomplete Section GG</t>
        </is>
      </c>
      <c r="B40" s="116" t="n">
        <v>0.29</v>
      </c>
      <c r="C40" s="101" t="n"/>
    </row>
    <row r="41" ht="15" customHeight="1" s="89">
      <c r="A41" s="101" t="inlineStr">
        <is>
          <t>% of sample with missing or non-specific secondary diagnoses</t>
        </is>
      </c>
      <c r="B41" s="116" t="n">
        <v>0.41</v>
      </c>
      <c r="C41" s="101" t="n"/>
    </row>
    <row r="43" ht="15" customHeight="1" s="89">
      <c r="A43" s="97" t="inlineStr">
        <is>
          <t>F. REVENUE LEAK % → $ CALCULATOR</t>
        </is>
      </c>
    </row>
    <row r="44" ht="15" customHeight="1" s="89">
      <c r="A44" s="119" t="inlineStr">
        <is>
          <t>Metric</t>
        </is>
      </c>
      <c r="B44" s="119" t="inlineStr">
        <is>
          <t>Value</t>
        </is>
      </c>
      <c r="C44" s="119" t="inlineStr">
        <is>
          <t>Notes</t>
        </is>
      </c>
    </row>
    <row r="45" ht="15" customHeight="1" s="89">
      <c r="A45" s="88" t="inlineStr">
        <is>
          <t>Net Patient Revenue (linked)</t>
        </is>
      </c>
      <c r="B45" s="120">
        <f>03_Financial_Inputs!B8</f>
        <v/>
      </c>
      <c r="C45" s="101" t="inlineStr">
        <is>
          <t>From Financial Inputs</t>
        </is>
      </c>
    </row>
    <row r="46" ht="15" customHeight="1" s="89">
      <c r="A46" s="88" t="inlineStr">
        <is>
          <t>Observed Annualized Opportunity $ (from sample)</t>
        </is>
      </c>
      <c r="B46" s="121">
        <f>B16</f>
        <v/>
      </c>
      <c r="C46" s="101" t="inlineStr">
        <is>
          <t>Linked to cell above</t>
        </is>
      </c>
    </row>
    <row r="47" ht="15" customHeight="1" s="89">
      <c r="A47" s="88" t="inlineStr">
        <is>
          <t>Observed Leak % (auto)</t>
        </is>
      </c>
      <c r="B47" s="122">
        <f>IF(B45=0,"",B46/B45)</f>
        <v/>
      </c>
      <c r="C47" s="101" t="inlineStr">
        <is>
          <t>Opportunity $ / Net Patient Revenue</t>
        </is>
      </c>
    </row>
    <row r="49" ht="26.25" customHeight="1" s="89">
      <c r="A49" s="119" t="inlineStr">
        <is>
          <t>Planning Band — Leak % (edit these)</t>
        </is>
      </c>
      <c r="B49" s="119" t="inlineStr">
        <is>
          <t>Leak %</t>
        </is>
      </c>
      <c r="C49" s="119" t="inlineStr">
        <is>
          <t>Dollar Impact</t>
        </is>
      </c>
      <c r="D49" s="119" t="inlineStr">
        <is>
          <t>Use Case</t>
        </is>
      </c>
    </row>
    <row r="50" ht="15" customHeight="1" s="89">
      <c r="A50" s="88" t="inlineStr">
        <is>
          <t>Conservative (4%)</t>
        </is>
      </c>
      <c r="B50" s="116" t="n">
        <v>0.04</v>
      </c>
      <c r="C50" s="121">
        <f>B45*B50</f>
        <v/>
      </c>
      <c r="D50" s="101" t="inlineStr">
        <is>
          <t>Lower-bound opportunity</t>
        </is>
      </c>
    </row>
    <row r="51" ht="15" customHeight="1" s="89">
      <c r="A51" s="88" t="inlineStr">
        <is>
          <t>Typical mid-range (6%)</t>
        </is>
      </c>
      <c r="B51" s="116" t="n">
        <v>0.06</v>
      </c>
      <c r="C51" s="121">
        <f>B45*B51</f>
        <v/>
      </c>
      <c r="D51" s="101" t="inlineStr">
        <is>
          <t>Common finding with documentation gaps</t>
        </is>
      </c>
    </row>
    <row r="52" ht="15" customHeight="1" s="89">
      <c r="A52" s="88" t="inlineStr">
        <is>
          <t>Upper end (8%)</t>
        </is>
      </c>
      <c r="B52" s="116" t="n">
        <v>0.08</v>
      </c>
      <c r="C52" s="121">
        <f>B45*B52</f>
        <v/>
      </c>
      <c r="D52" s="101" t="inlineStr">
        <is>
          <t>Weak GG + diagnosis + NTA</t>
        </is>
      </c>
    </row>
    <row r="53" ht="15" customHeight="1" s="89">
      <c r="A53" s="88" t="inlineStr">
        <is>
          <t>Custom Leak %</t>
        </is>
      </c>
      <c r="B53" s="116" t="n">
        <v>0.05</v>
      </c>
      <c r="C53" s="121">
        <f>B45*B53</f>
        <v/>
      </c>
      <c r="D53" s="101" t="inlineStr">
        <is>
          <t>Edit yellow cell to model any %</t>
        </is>
      </c>
    </row>
    <row r="55" ht="15" customHeight="1" s="89">
      <c r="A55" s="123" t="inlineStr">
        <is>
          <t>Formula: Revenue Leak $ = Net Patient Revenue × Leak %</t>
        </is>
      </c>
    </row>
  </sheetData>
  <mergeCells count="8">
    <mergeCell ref="A5:D5"/>
    <mergeCell ref="A29:E31"/>
    <mergeCell ref="A1:E1"/>
    <mergeCell ref="A43:D43"/>
    <mergeCell ref="A24:D24"/>
    <mergeCell ref="A33:D33"/>
    <mergeCell ref="A13:D13"/>
    <mergeCell ref="A3:E3"/>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25"/>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45" customWidth="1" style="88" min="1" max="1"/>
    <col width="18" customWidth="1" style="88" min="2" max="2"/>
    <col width="12" customWidth="1" style="88" min="3" max="3"/>
    <col width="15" customWidth="1" style="88" min="4" max="4"/>
    <col width="14" customWidth="1" style="88" min="5" max="5"/>
    <col width="50" customWidth="1" style="88" min="6" max="6"/>
  </cols>
  <sheetData>
    <row r="1" ht="19.5" customHeight="1" s="89">
      <c r="A1" s="98" t="inlineStr">
        <is>
          <t>COMPOSITE RISK SCORES &amp; ACTUARIAL-STYLE CATEGORIES</t>
        </is>
      </c>
    </row>
    <row r="3" ht="15" customHeight="1" s="89">
      <c r="A3" s="103" t="inlineStr">
        <is>
          <t>Scores are 0-100 where higher = higher risk (except Opportunity Score). Thresholds are illustrative and should be calibrated to your credit policy.</t>
        </is>
      </c>
    </row>
    <row r="5" ht="26.25" customHeight="1" s="89">
      <c r="A5" s="99" t="inlineStr">
        <is>
          <t>RISK CATEGORY</t>
        </is>
      </c>
      <c r="B5" s="99" t="inlineStr">
        <is>
          <t>Raw Score (0-100)</t>
        </is>
      </c>
      <c r="C5" s="99" t="inlineStr">
        <is>
          <t>Weight</t>
        </is>
      </c>
      <c r="D5" s="99" t="inlineStr">
        <is>
          <t>Weighted Score</t>
        </is>
      </c>
      <c r="E5" s="99" t="inlineStr">
        <is>
          <t>Traffic Light</t>
        </is>
      </c>
      <c r="F5" s="99" t="inlineStr">
        <is>
          <t>Key Driver / Comment</t>
        </is>
      </c>
    </row>
    <row r="6" ht="15" customHeight="1" s="89">
      <c r="A6" s="101" t="inlineStr">
        <is>
          <t>1. Financial / Credit Risk</t>
        </is>
      </c>
      <c r="B6" s="124" t="n">
        <v>28</v>
      </c>
      <c r="C6" s="125" t="n">
        <v>0.25</v>
      </c>
      <c r="D6" s="107">
        <f>B6*C6</f>
        <v/>
      </c>
      <c r="E6" s="126">
        <f>IF(B6&gt;=70,"HIGH",IF(B6&gt;=40,"MODERATE","LOW"))</f>
        <v/>
      </c>
      <c r="F6" s="101" t="inlineStr">
        <is>
          <t>DSCR, margins, leverage, liquidity</t>
        </is>
      </c>
    </row>
    <row r="7" ht="15" customHeight="1" s="89">
      <c r="A7" s="101" t="inlineStr">
        <is>
          <t>2. Occupancy &amp; Payer Mix Risk</t>
        </is>
      </c>
      <c r="B7" s="124" t="n">
        <v>45</v>
      </c>
      <c r="C7" s="125" t="n">
        <v>0.15</v>
      </c>
      <c r="D7" s="107">
        <f>B7*C7</f>
        <v/>
      </c>
      <c r="E7" s="126">
        <f>IF(B7&gt;=70,"HIGH",IF(B7&gt;=40,"MODERATE","LOW"))</f>
        <v/>
      </c>
      <c r="F7" s="101" t="inlineStr">
        <is>
          <t>Occupancy &lt;78%, high Medicaid concentration</t>
        </is>
      </c>
    </row>
    <row r="8" ht="15" customHeight="1" s="89">
      <c r="A8" s="101" t="inlineStr">
        <is>
          <t>3. Staffing &amp; Labor Risk</t>
        </is>
      </c>
      <c r="B8" s="124" t="n">
        <v>55</v>
      </c>
      <c r="C8" s="125" t="n">
        <v>0.15</v>
      </c>
      <c r="D8" s="107">
        <f>B8*C8</f>
        <v/>
      </c>
      <c r="E8" s="126">
        <f>IF(B8&gt;=70,"HIGH",IF(B8&gt;=40,"MODERATE","LOW"))</f>
        <v/>
      </c>
      <c r="F8" s="101" t="inlineStr">
        <is>
          <t>HPPD, turnover, agency dependency</t>
        </is>
      </c>
    </row>
    <row r="9" ht="15" customHeight="1" s="89">
      <c r="A9" s="101" t="inlineStr">
        <is>
          <t>4. Quality &amp; Clinical Outcomes Risk</t>
        </is>
      </c>
      <c r="B9" s="124" t="n">
        <v>40</v>
      </c>
      <c r="C9" s="125" t="n">
        <v>0.15</v>
      </c>
      <c r="D9" s="107">
        <f>B9*C9</f>
        <v/>
      </c>
      <c r="E9" s="126">
        <f>IF(B9&gt;=70,"HIGH",IF(B9&gt;=40,"MODERATE","LOW"))</f>
        <v/>
      </c>
      <c r="F9" s="101" t="inlineStr">
        <is>
          <t>Stars, readmissions, HAI, falls</t>
        </is>
      </c>
    </row>
    <row r="10" ht="15" customHeight="1" s="89">
      <c r="A10" s="101" t="inlineStr">
        <is>
          <t>5. Regulatory / Survey Risk</t>
        </is>
      </c>
      <c r="B10" s="124" t="n">
        <v>30</v>
      </c>
      <c r="C10" s="125" t="n">
        <v>0.1</v>
      </c>
      <c r="D10" s="107">
        <f>B10*C10</f>
        <v/>
      </c>
      <c r="E10" s="126">
        <f>IF(B10&gt;=70,"HIGH",IF(B10&gt;=40,"MODERATE","LOW"))</f>
        <v/>
      </c>
      <c r="F10" s="101" t="inlineStr">
        <is>
          <t>IJ, high-severity tags, CMPs</t>
        </is>
      </c>
    </row>
    <row r="11" ht="15" customHeight="1" s="89">
      <c r="A11" s="101" t="inlineStr">
        <is>
          <t>6. Documentation / Revenue Integrity Risk</t>
        </is>
      </c>
      <c r="B11" s="124" t="n">
        <v>48</v>
      </c>
      <c r="C11" s="125" t="n">
        <v>0.2</v>
      </c>
      <c r="D11" s="107">
        <f>B11*C11</f>
        <v/>
      </c>
      <c r="E11" s="126">
        <f>IF(B11&gt;=70,"HIGH",IF(B11&gt;=40,"MODERATE","LOW"))</f>
        <v/>
      </c>
      <c r="F11" s="101" t="inlineStr">
        <is>
          <t>From sheet 06 — audit exposure + opportunity</t>
        </is>
      </c>
    </row>
    <row r="13" ht="17.25" customHeight="1" s="89">
      <c r="A13" s="92" t="inlineStr">
        <is>
          <t>COMPOSITE RISK SCORE (weighted)</t>
        </is>
      </c>
      <c r="B13" s="127">
        <f>SUM(D6:D11)</f>
        <v/>
      </c>
      <c r="C13" s="128">
        <f>IF(B13&gt;=60,"ELEVATED / HIGH RISK",IF(B13&gt;=35,"MODERATE RISK","LOWER RISK"))</f>
        <v/>
      </c>
    </row>
    <row r="15" ht="15" customHeight="1" s="89">
      <c r="A15" s="92" t="inlineStr">
        <is>
          <t>OPPORTUNITY SCORE (from Documentation sheet — higher is better / more upside)</t>
        </is>
      </c>
      <c r="B15" s="129">
        <f>06_Documentation_Risk!B25</f>
        <v/>
      </c>
    </row>
    <row r="17" ht="15" customHeight="1" s="89">
      <c r="A17" s="92" t="inlineStr">
        <is>
          <t>DOCUMENTATION RISK SCORE (from Documentation sheet)</t>
        </is>
      </c>
      <c r="B17" s="129">
        <f>06_Documentation_Risk!B26</f>
        <v/>
      </c>
    </row>
    <row r="19" ht="15" customHeight="1" s="89">
      <c r="A19" s="97" t="inlineStr">
        <is>
          <t>SCORING GUIDANCE (calibrate to your policy)</t>
        </is>
      </c>
    </row>
    <row r="20" ht="15" customHeight="1" s="89">
      <c r="A20" s="88" t="inlineStr">
        <is>
          <t>Financial: Map DSCR &lt;1.10 → 80-100, 1.10-1.25 → 50-70, &gt;1.40 → 0-30. High leverage and thin margins push score up.</t>
        </is>
      </c>
    </row>
    <row r="21" ht="15" customHeight="1" s="89">
      <c r="A21" s="88" t="inlineStr">
        <is>
          <t>Occupancy: &lt;75% → high risk; 75-80% → moderate; &gt;85% with balanced payer mix → lower risk.</t>
        </is>
      </c>
    </row>
    <row r="22" ht="15" customHeight="1" s="89">
      <c r="A22" s="88" t="inlineStr">
        <is>
          <t>Staffing: Agency &gt;25% or turnover &gt;60% or HPPD below CMS minimum → high risk.</t>
        </is>
      </c>
    </row>
    <row r="23" ht="15" customHeight="1" s="89">
      <c r="A23" s="88" t="inlineStr">
        <is>
          <t>Quality: 1-star overall or recent IJ → high; consistent 4-5 star with good outcomes → lower.</t>
        </is>
      </c>
    </row>
    <row r="24" ht="15" customHeight="1" s="89">
      <c r="A24" s="88" t="inlineStr">
        <is>
          <t>Regulatory: Any recent IJ or payment denial → high; clean surveys → lower.</t>
        </is>
      </c>
    </row>
    <row r="25" ht="15" customHeight="1" s="89">
      <c r="A25" s="88" t="inlineStr">
        <is>
          <t>Documentation: Use the two scores from sheet 06. High audit exposure raises risk; high opportunity can be flagged separately as upside for buyers/sellers.</t>
        </is>
      </c>
    </row>
  </sheetData>
  <mergeCells count="9">
    <mergeCell ref="A24:F24"/>
    <mergeCell ref="A19:F19"/>
    <mergeCell ref="A1:F1"/>
    <mergeCell ref="A23:F23"/>
    <mergeCell ref="A22:F22"/>
    <mergeCell ref="A3:F3"/>
    <mergeCell ref="A21:F21"/>
    <mergeCell ref="A20:F20"/>
    <mergeCell ref="A25:F25"/>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8.xml><?xml version="1.0" encoding="utf-8"?>
<worksheet xmlns="http://schemas.openxmlformats.org/spreadsheetml/2006/main">
  <sheetPr filterMode="0">
    <outlinePr summaryBelow="1" summaryRight="1"/>
    <pageSetUpPr fitToPage="0"/>
  </sheetPr>
  <dimension ref="A1:G28"/>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45" customWidth="1" style="88" min="1" max="1"/>
    <col width="14" customWidth="1" style="88" min="2" max="2"/>
    <col width="12" customWidth="1" style="88" min="3" max="3"/>
    <col width="16" customWidth="1" style="88" min="4" max="4"/>
    <col width="14" customWidth="1" style="88" min="5" max="5"/>
    <col width="16" customWidth="1" style="88" min="6" max="6"/>
    <col width="50" customWidth="1" style="88" min="7" max="7"/>
  </cols>
  <sheetData>
    <row r="1" ht="19.5" customHeight="1" s="89">
      <c r="A1" s="98" t="inlineStr">
        <is>
          <t>STRESS TESTING — DSCR &amp; MARGIN SENSITIVITY</t>
        </is>
      </c>
    </row>
    <row r="3" ht="15" customHeight="1" s="89">
      <c r="A3" s="103" t="inlineStr">
        <is>
          <t>Base case pulls from Financial Inputs. Stress cases apply shocks typical of actuarial / lender underwriting for SNFs.</t>
        </is>
      </c>
    </row>
    <row r="5" ht="15" customHeight="1" s="89">
      <c r="A5" s="97" t="inlineStr">
        <is>
          <t>BASE CASE (linked)</t>
        </is>
      </c>
    </row>
    <row r="6" ht="15" customHeight="1" s="89">
      <c r="A6" s="88" t="inlineStr">
        <is>
          <t>Total Operating Revenue</t>
        </is>
      </c>
      <c r="B6" s="130">
        <f>03_Financial_Inputs!B7</f>
        <v/>
      </c>
    </row>
    <row r="7" ht="15" customHeight="1" s="89">
      <c r="A7" s="88" t="inlineStr">
        <is>
          <t>EBITDA</t>
        </is>
      </c>
      <c r="B7" s="130">
        <f>03_Financial_Inputs!B21</f>
        <v/>
      </c>
    </row>
    <row r="8" ht="15" customHeight="1" s="89">
      <c r="A8" s="88" t="inlineStr">
        <is>
          <t>Annual Debt Service</t>
        </is>
      </c>
      <c r="B8" s="130">
        <f>03_Financial_Inputs!B32</f>
        <v/>
      </c>
    </row>
    <row r="9" ht="15" customHeight="1" s="89">
      <c r="A9" s="88" t="inlineStr">
        <is>
          <t>Base DSCR</t>
        </is>
      </c>
      <c r="B9" s="131">
        <f>IF(B8=0,"",B7/B8)</f>
        <v/>
      </c>
    </row>
    <row r="11" ht="15" customHeight="1" s="89">
      <c r="A11" s="97" t="inlineStr">
        <is>
          <t>STRESS SCENARIOS</t>
        </is>
      </c>
    </row>
    <row r="12" ht="26.25" customHeight="1" s="89">
      <c r="A12" s="99" t="inlineStr">
        <is>
          <t>Scenario</t>
        </is>
      </c>
      <c r="B12" s="99" t="inlineStr">
        <is>
          <t>Revenue Shock</t>
        </is>
      </c>
      <c r="C12" s="99" t="inlineStr">
        <is>
          <t>Cost Shock</t>
        </is>
      </c>
      <c r="D12" s="99" t="inlineStr">
        <is>
          <t>Stressed EBITDA</t>
        </is>
      </c>
      <c r="E12" s="99" t="inlineStr">
        <is>
          <t>Stressed DSCR</t>
        </is>
      </c>
      <c r="F12" s="99" t="inlineStr">
        <is>
          <t>Pass / Fail (vs 1.20x)</t>
        </is>
      </c>
      <c r="G12" s="99" t="inlineStr">
        <is>
          <t>Notes</t>
        </is>
      </c>
    </row>
    <row r="13" ht="15" customHeight="1" s="89">
      <c r="A13" s="101" t="inlineStr">
        <is>
          <t>1. Medicaid rate cut -5%</t>
        </is>
      </c>
      <c r="B13" s="116" t="n">
        <v>-0.05</v>
      </c>
      <c r="C13" s="116" t="n">
        <v>0</v>
      </c>
      <c r="D13" s="121">
        <f>$B$7+($B$6*B13)-($B$6*C13)</f>
        <v/>
      </c>
      <c r="E13" s="106">
        <f>IF($B$8=0,"",D13/$B$8)</f>
        <v/>
      </c>
      <c r="F13" s="126">
        <f>IF(E13&gt;="","",IF(E13&gt;=1.2,"PASS","FAIL"))</f>
        <v/>
      </c>
      <c r="G13" s="101" t="inlineStr">
        <is>
          <t>Common stress for high-Medicaid facilities</t>
        </is>
      </c>
    </row>
    <row r="14" ht="15" customHeight="1" s="89">
      <c r="A14" s="101" t="inlineStr">
        <is>
          <t>2. Medicaid rate cut -10%</t>
        </is>
      </c>
      <c r="B14" s="116" t="n">
        <v>-0.1</v>
      </c>
      <c r="C14" s="116" t="n">
        <v>0</v>
      </c>
      <c r="D14" s="121">
        <f>$B$7+($B$6*B14)-($B$6*C14)</f>
        <v/>
      </c>
      <c r="E14" s="106">
        <f>IF($B$8=0,"",D14/$B$8)</f>
        <v/>
      </c>
      <c r="F14" s="126">
        <f>IF(E14&gt;="","",IF(E14&gt;=1.2,"PASS","FAIL"))</f>
        <v/>
      </c>
      <c r="G14" s="101" t="inlineStr">
        <is>
          <t>Severe rate shock</t>
        </is>
      </c>
    </row>
    <row r="15" ht="15" customHeight="1" s="89">
      <c r="A15" s="101" t="inlineStr">
        <is>
          <t>3. Occupancy drop -5 pts (approx rev impact)</t>
        </is>
      </c>
      <c r="B15" s="116" t="n">
        <v>-0.06</v>
      </c>
      <c r="C15" s="116" t="n">
        <v>0</v>
      </c>
      <c r="D15" s="121">
        <f>$B$7+($B$6*B15)-($B$6*C15)</f>
        <v/>
      </c>
      <c r="E15" s="106">
        <f>IF($B$8=0,"",D15/$B$8)</f>
        <v/>
      </c>
      <c r="F15" s="126">
        <f>IF(E15&gt;="","",IF(E15&gt;=1.2,"PASS","FAIL"))</f>
        <v/>
      </c>
      <c r="G15" s="101" t="inlineStr">
        <is>
          <t>Rough proxy; refine with actual fixed/variable split</t>
        </is>
      </c>
    </row>
    <row r="16" ht="15" customHeight="1" s="89">
      <c r="A16" s="101" t="inlineStr">
        <is>
          <t>4. Occupancy drop -10 pts</t>
        </is>
      </c>
      <c r="B16" s="116" t="n">
        <v>-0.12</v>
      </c>
      <c r="C16" s="116" t="n">
        <v>0</v>
      </c>
      <c r="D16" s="121">
        <f>$B$7+($B$6*B16)-($B$6*C16)</f>
        <v/>
      </c>
      <c r="E16" s="106">
        <f>IF($B$8=0,"",D16/$B$8)</f>
        <v/>
      </c>
      <c r="F16" s="126">
        <f>IF(E16&gt;="","",IF(E16&gt;=1.2,"PASS","FAIL"))</f>
        <v/>
      </c>
      <c r="G16" s="101" t="n"/>
    </row>
    <row r="17" ht="15" customHeight="1" s="89">
      <c r="A17" s="101" t="inlineStr">
        <is>
          <t>5. Agency labor spike +10% of labor cost</t>
        </is>
      </c>
      <c r="B17" s="116" t="n">
        <v>0</v>
      </c>
      <c r="C17" s="116" t="n">
        <v>0.05</v>
      </c>
      <c r="D17" s="121">
        <f>$B$7+($B$6*B17)-($B$6*C17)</f>
        <v/>
      </c>
      <c r="E17" s="106">
        <f>IF($B$8=0,"",D17/$B$8)</f>
        <v/>
      </c>
      <c r="F17" s="126">
        <f>IF(E17&gt;="","",IF(E17&gt;=1.2,"PASS","FAIL"))</f>
        <v/>
      </c>
      <c r="G17" s="101" t="inlineStr">
        <is>
          <t>Labor cost assumed ~60% of revenue; adjust</t>
        </is>
      </c>
    </row>
    <row r="18" ht="15" customHeight="1" s="89">
      <c r="A18" s="101" t="inlineStr">
        <is>
          <t>6. Combined: -5% revenue + labor spike</t>
        </is>
      </c>
      <c r="B18" s="116" t="n">
        <v>-0.05</v>
      </c>
      <c r="C18" s="116" t="n">
        <v>0.05</v>
      </c>
      <c r="D18" s="121">
        <f>$B$7+($B$6*B18)-($B$6*C18)</f>
        <v/>
      </c>
      <c r="E18" s="106">
        <f>IF($B$8=0,"",D18/$B$8)</f>
        <v/>
      </c>
      <c r="F18" s="126">
        <f>IF(E18&gt;="","",IF(E18&gt;=1.2,"PASS","FAIL"))</f>
        <v/>
      </c>
      <c r="G18" s="101" t="inlineStr">
        <is>
          <t>Dual shock</t>
        </is>
      </c>
    </row>
    <row r="19" ht="15" customHeight="1" s="89">
      <c r="A19" s="101" t="inlineStr">
        <is>
          <t>7. Custom user stress</t>
        </is>
      </c>
      <c r="B19" s="116" t="n">
        <v>0</v>
      </c>
      <c r="C19" s="116" t="n">
        <v>0</v>
      </c>
      <c r="D19" s="121">
        <f>$B$7+($B$6*B19)-($B$6*C19)</f>
        <v/>
      </c>
      <c r="E19" s="106">
        <f>IF($B$8=0,"",D19/$B$8)</f>
        <v/>
      </c>
      <c r="F19" s="126">
        <f>IF(E19&gt;="","",IF(E19&gt;=1.2,"PASS","FAIL"))</f>
        <v/>
      </c>
      <c r="G19" s="101" t="inlineStr">
        <is>
          <t>Edit yellow cells</t>
        </is>
      </c>
    </row>
    <row r="20" ht="15" customHeight="1" s="89">
      <c r="A20" s="101" t="inlineStr">
        <is>
          <t>8. Medicare rate cut -3%</t>
        </is>
      </c>
      <c r="B20" s="116" t="n">
        <v>-0.03</v>
      </c>
      <c r="C20" s="116" t="n">
        <v>0</v>
      </c>
      <c r="D20" s="121">
        <f>$B$7+($B$6*B20)-($B$6*C20)</f>
        <v/>
      </c>
      <c r="E20" s="106">
        <f>IF($B$8=0,"",D20/$B$8)</f>
        <v/>
      </c>
      <c r="F20" s="126">
        <f>IF(E20&gt;="","",IF(E20&gt;=1.2,"PASS","FAIL"))</f>
        <v/>
      </c>
      <c r="G20" s="101" t="inlineStr">
        <is>
          <t>Medicare Part A rate pressure</t>
        </is>
      </c>
    </row>
    <row r="21" ht="15" customHeight="1" s="89">
      <c r="A21" s="132" t="inlineStr">
        <is>
          <t>9. Medicaid delay (WC + cost proxy)</t>
        </is>
      </c>
      <c r="B21" s="116" t="n">
        <v>-0.02</v>
      </c>
      <c r="C21" s="116" t="n">
        <v>0.015</v>
      </c>
      <c r="D21" s="121">
        <f>$B$7+($B$6*B21)-($B$6*C21)</f>
        <v/>
      </c>
      <c r="E21" s="106">
        <f>IF($B$8=0,"",D21/$B$8)</f>
        <v/>
      </c>
      <c r="F21" s="126">
        <f>IF(E21&gt;="","",IF(E21&gt;=1.2,"PASS","FAIL"))</f>
        <v/>
      </c>
      <c r="G21" s="101" t="inlineStr">
        <is>
          <t>Slower payments impact</t>
        </is>
      </c>
    </row>
    <row r="22" ht="15" customHeight="1" s="89">
      <c r="A22" s="101" t="inlineStr">
        <is>
          <t>10. Minimum staffing rule cost</t>
        </is>
      </c>
      <c r="B22" s="116" t="n">
        <v>0</v>
      </c>
      <c r="C22" s="116" t="n">
        <v>0.03</v>
      </c>
      <c r="D22" s="121">
        <f>$B$7+($B$6*B22)-($B$6*C22)</f>
        <v/>
      </c>
      <c r="E22" s="106">
        <f>IF($B$8=0,"",D22/$B$8)</f>
        <v/>
      </c>
      <c r="F22" s="126">
        <f>IF(E22&gt;="","",IF(E22&gt;=1.2,"PASS","FAIL"))</f>
        <v/>
      </c>
      <c r="G22" s="101" t="inlineStr">
        <is>
          <t>Incremental labor for HPPD mandates</t>
        </is>
      </c>
    </row>
    <row r="23" ht="15" customHeight="1" s="89">
      <c r="A23" s="101" t="inlineStr">
        <is>
          <t>11. Dual: -5% Medicaid + staffing rule</t>
        </is>
      </c>
      <c r="B23" s="116" t="n">
        <v>-0.05</v>
      </c>
      <c r="C23" s="116" t="n">
        <v>0.03</v>
      </c>
      <c r="D23" s="121">
        <f>$B$7+($B$6*B23)-($B$6*C23)</f>
        <v/>
      </c>
      <c r="E23" s="106">
        <f>IF($B$8=0,"",D23/$B$8)</f>
        <v/>
      </c>
      <c r="F23" s="126">
        <f>IF(E23&gt;="","",IF(E23&gt;=1.2,"PASS","FAIL"))</f>
        <v/>
      </c>
      <c r="G23" s="101" t="inlineStr">
        <is>
          <t>Combined policy shock</t>
        </is>
      </c>
    </row>
    <row r="24" ht="15" customHeight="1" s="89">
      <c r="A24" s="101" t="inlineStr">
        <is>
          <t>12. Severe occupancy -15 pts</t>
        </is>
      </c>
      <c r="B24" s="116" t="n">
        <v>-0.18</v>
      </c>
      <c r="C24" s="116" t="n">
        <v>0</v>
      </c>
      <c r="D24" s="121">
        <f>$B$7+($B$6*B24)-($B$6*C24)</f>
        <v/>
      </c>
      <c r="E24" s="106">
        <f>IF($B$8=0,"",D24/$B$8)</f>
        <v/>
      </c>
      <c r="F24" s="126">
        <f>IF(E24&gt;="","",IF(E24&gt;=1.2,"PASS","FAIL"))</f>
        <v/>
      </c>
      <c r="G24" s="101" t="inlineStr">
        <is>
          <t>Major census loss</t>
        </is>
      </c>
    </row>
    <row r="26" ht="15" customHeight="1" s="89">
      <c r="A26" s="92" t="inlineStr">
        <is>
          <t>INTERPRETATION</t>
        </is>
      </c>
    </row>
    <row r="27" ht="15" customHeight="1" s="89">
      <c r="A27" s="88" t="inlineStr">
        <is>
          <t>If multiple scenarios show DSCR &lt; 1.20x (or your covenant floor), the facility has elevated credit risk under plausible shocks. Document mitigation (rate lock, reserves, operator support, etc.).</t>
        </is>
      </c>
    </row>
    <row r="28" ht="15" customHeight="1" s="89"/>
  </sheetData>
  <mergeCells count="5">
    <mergeCell ref="A1:G1"/>
    <mergeCell ref="A5:C5"/>
    <mergeCell ref="A3:G3"/>
    <mergeCell ref="A27:G28"/>
    <mergeCell ref="A11:G1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9.xml><?xml version="1.0" encoding="utf-8"?>
<worksheet xmlns="http://schemas.openxmlformats.org/spreadsheetml/2006/main">
  <sheetPr filterMode="0">
    <outlinePr summaryBelow="1" summaryRight="1"/>
    <pageSetUpPr fitToPage="0"/>
  </sheetPr>
  <dimension ref="A1:F39"/>
  <sheetViews>
    <sheetView showFormulas="0" showGridLines="1"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40" customWidth="1" style="88" min="1" max="1"/>
    <col width="18" customWidth="1" style="88" min="2" max="2"/>
    <col width="35" customWidth="1" style="88" min="3" max="3"/>
    <col width="20" customWidth="1" style="88" min="4" max="4"/>
  </cols>
  <sheetData>
    <row r="1" ht="19.5" customHeight="1" s="89">
      <c r="A1" s="98" t="inlineStr">
        <is>
          <t>EXECUTIVE DASHBOARD — SNF RISK SUMMARY</t>
        </is>
      </c>
    </row>
    <row r="3" ht="15" customHeight="1" s="89">
      <c r="A3" s="88" t="inlineStr">
        <is>
          <t>Facility</t>
        </is>
      </c>
      <c r="B3" s="96">
        <f>02_Facility_Profile!B4</f>
        <v/>
      </c>
    </row>
    <row r="4" ht="15" customHeight="1" s="89">
      <c r="A4" s="88" t="inlineStr">
        <is>
          <t>CCN</t>
        </is>
      </c>
      <c r="B4" s="96">
        <f>02_Facility_Profile!B6</f>
        <v/>
      </c>
    </row>
    <row r="5" ht="15" customHeight="1" s="89">
      <c r="A5" s="88" t="inlineStr">
        <is>
          <t>Analysis Date</t>
        </is>
      </c>
      <c r="B5" s="96">
        <f>02_Facility_Profile!B15</f>
        <v/>
      </c>
    </row>
    <row r="6" ht="15" customHeight="1" s="89">
      <c r="A6" s="88" t="inlineStr">
        <is>
          <t>Primary Audience</t>
        </is>
      </c>
      <c r="B6" s="96">
        <f>02_Facility_Profile!B28</f>
        <v/>
      </c>
    </row>
    <row r="8" ht="19.5" customHeight="1" s="89">
      <c r="A8" s="97" t="inlineStr">
        <is>
          <t>COMPOSITE RISK</t>
        </is>
      </c>
      <c r="B8" s="133">
        <f>07_Risk_Scores!B13</f>
        <v/>
      </c>
      <c r="C8" s="128">
        <f>07_Risk_Scores!C13</f>
        <v/>
      </c>
    </row>
    <row r="10" ht="15" customHeight="1" s="89">
      <c r="A10" s="97" t="inlineStr">
        <is>
          <t>KEY METRICS AT A GLANCE</t>
        </is>
      </c>
    </row>
    <row r="11" ht="15" customHeight="1" s="89">
      <c r="A11" s="99" t="inlineStr">
        <is>
          <t>Metric</t>
        </is>
      </c>
      <c r="B11" s="99" t="inlineStr">
        <is>
          <t>Value</t>
        </is>
      </c>
      <c r="C11" s="99" t="inlineStr">
        <is>
          <t>Risk Signal</t>
        </is>
      </c>
    </row>
    <row r="12" ht="15" customHeight="1" s="89">
      <c r="A12" s="101" t="inlineStr">
        <is>
          <t>DSCR (x)</t>
        </is>
      </c>
      <c r="B12" s="134">
        <f>03_Financial_Inputs!B42</f>
        <v/>
      </c>
      <c r="C12" s="135">
        <f>08_Stress_Scenarios!B9</f>
        <v/>
      </c>
    </row>
    <row r="13" ht="15" customHeight="1" s="89">
      <c r="A13" s="101" t="inlineStr">
        <is>
          <t>EBITDA Margin %</t>
        </is>
      </c>
      <c r="B13" s="136">
        <f>03_Financial_Inputs!B39</f>
        <v/>
      </c>
      <c r="C13" s="101" t="n"/>
    </row>
    <row r="14" ht="15" customHeight="1" s="89">
      <c r="A14" s="101" t="inlineStr">
        <is>
          <t>Occupancy %</t>
        </is>
      </c>
      <c r="B14" s="136">
        <f>04_Operational_Inputs!B7</f>
        <v/>
      </c>
      <c r="C14" s="101" t="n"/>
    </row>
    <row r="15" ht="15" customHeight="1" s="89">
      <c r="A15" s="101" t="inlineStr">
        <is>
          <t>Agency Labor % of Labor</t>
        </is>
      </c>
      <c r="B15" s="136">
        <f>03_Financial_Inputs!B49</f>
        <v/>
      </c>
      <c r="C15" s="101" t="n"/>
    </row>
    <row r="16" ht="15" customHeight="1" s="89">
      <c r="A16" s="101" t="inlineStr">
        <is>
          <t>Overall Star Rating</t>
        </is>
      </c>
      <c r="B16" s="137">
        <f>05_Staffing_Quality!B17</f>
        <v/>
      </c>
      <c r="C16" s="101" t="n"/>
    </row>
    <row r="17" ht="15" customHeight="1" s="89">
      <c r="A17" s="101" t="inlineStr">
        <is>
          <t>Documentation Opportunity Score</t>
        </is>
      </c>
      <c r="B17" s="138">
        <f>07_Risk_Scores!B15</f>
        <v/>
      </c>
      <c r="C17" s="101" t="inlineStr">
        <is>
          <t>Higher = more upside</t>
        </is>
      </c>
    </row>
    <row r="18" ht="15" customHeight="1" s="89">
      <c r="A18" s="101" t="inlineStr">
        <is>
          <t>Documentation Risk Score</t>
        </is>
      </c>
      <c r="B18" s="138">
        <f>07_Risk_Scores!B17</f>
        <v/>
      </c>
      <c r="C18" s="101" t="inlineStr">
        <is>
          <t>Higher = more audit risk</t>
        </is>
      </c>
    </row>
    <row r="20" ht="15" customHeight="1" s="89">
      <c r="A20" s="97" t="inlineStr">
        <is>
          <t>CATEGORY TRAFFIC LIGHTS</t>
        </is>
      </c>
    </row>
    <row r="21" ht="15" customHeight="1" s="89">
      <c r="A21" s="99" t="inlineStr">
        <is>
          <t>Category</t>
        </is>
      </c>
      <c r="B21" s="99" t="inlineStr">
        <is>
          <t>Score</t>
        </is>
      </c>
      <c r="C21" s="99" t="inlineStr">
        <is>
          <t>Light</t>
        </is>
      </c>
    </row>
    <row r="22" ht="15" customHeight="1" s="89">
      <c r="A22" s="137">
        <f>07_Risk_Scores!A6</f>
        <v/>
      </c>
      <c r="B22" s="138">
        <f>07_Risk_Scores!B6</f>
        <v/>
      </c>
      <c r="C22" s="137">
        <f>07_Risk_Scores!E6</f>
        <v/>
      </c>
    </row>
    <row r="23" ht="15" customHeight="1" s="89">
      <c r="A23" s="137">
        <f>07_Risk_Scores!A7</f>
        <v/>
      </c>
      <c r="B23" s="138">
        <f>07_Risk_Scores!B7</f>
        <v/>
      </c>
      <c r="C23" s="137">
        <f>07_Risk_Scores!E7</f>
        <v/>
      </c>
    </row>
    <row r="24" ht="15" customHeight="1" s="89">
      <c r="A24" s="137">
        <f>07_Risk_Scores!A8</f>
        <v/>
      </c>
      <c r="B24" s="138">
        <f>07_Risk_Scores!B8</f>
        <v/>
      </c>
      <c r="C24" s="137">
        <f>07_Risk_Scores!E8</f>
        <v/>
      </c>
    </row>
    <row r="25" ht="15" customHeight="1" s="89">
      <c r="A25" s="137">
        <f>07_Risk_Scores!A9</f>
        <v/>
      </c>
      <c r="B25" s="138">
        <f>07_Risk_Scores!B9</f>
        <v/>
      </c>
      <c r="C25" s="137">
        <f>07_Risk_Scores!E9</f>
        <v/>
      </c>
    </row>
    <row r="26" ht="15" customHeight="1" s="89">
      <c r="A26" s="137">
        <f>07_Risk_Scores!A10</f>
        <v/>
      </c>
      <c r="B26" s="138">
        <f>07_Risk_Scores!B10</f>
        <v/>
      </c>
      <c r="C26" s="137">
        <f>07_Risk_Scores!E10</f>
        <v/>
      </c>
    </row>
    <row r="27" ht="15" customHeight="1" s="89">
      <c r="A27" s="137">
        <f>07_Risk_Scores!A11</f>
        <v/>
      </c>
      <c r="B27" s="138">
        <f>07_Risk_Scores!B11</f>
        <v/>
      </c>
      <c r="C27" s="137">
        <f>07_Risk_Scores!E11</f>
        <v/>
      </c>
    </row>
    <row r="30" ht="15" customHeight="1" s="89">
      <c r="A30" s="97" t="inlineStr">
        <is>
          <t>RECOMMENDED NEXT ACTIONS</t>
        </is>
      </c>
    </row>
    <row r="31" ht="15" customHeight="1" s="89">
      <c r="A31" s="88" t="inlineStr">
        <is>
          <t>(Manually complete after review)</t>
        </is>
      </c>
    </row>
    <row r="32" ht="15" customHeight="1" s="89">
      <c r="A32" s="102" t="n"/>
      <c r="B32" s="108" t="n"/>
      <c r="C32" s="108" t="n"/>
      <c r="D32" s="109" t="n"/>
    </row>
    <row r="33" ht="15" customHeight="1" s="89">
      <c r="A33" s="110" t="n"/>
      <c r="D33" s="111" t="n"/>
    </row>
    <row r="34" ht="15" customHeight="1" s="89">
      <c r="A34" s="112" t="n"/>
      <c r="B34" s="113" t="n"/>
      <c r="C34" s="113" t="n"/>
      <c r="D34" s="114" t="n"/>
    </row>
    <row r="38" ht="15" customHeight="1" s="89">
      <c r="A38" s="139" t="inlineStr">
        <is>
          <t>DRL HOLDINGS INTELLIGENCE  ·  Evidence-only  ·  Flat-fee  ·  BAA-first  |  Version 1.1</t>
        </is>
      </c>
    </row>
    <row r="39" ht="15" customHeight="1" s="89">
      <c r="A39" s="140" t="inlineStr">
        <is>
          <t>Monte Carlo and Case-Mix details on sheets 12-13.</t>
        </is>
      </c>
    </row>
  </sheetData>
  <mergeCells count="5">
    <mergeCell ref="A1:F1"/>
    <mergeCell ref="A30:D30"/>
    <mergeCell ref="A10:D10"/>
    <mergeCell ref="A32:D34"/>
    <mergeCell ref="A20:C20"/>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2026-08-09T00:31:10Z</dcterms:created>
  <dcterms:modified xsi:type="dcterms:W3CDTF">2026-08-09T01:13:07Z</dcterms:modified>
  <cp:revision>0</cp:revision>
</cp:coreProperties>
</file>